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Т-пит'!$386:$387</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Т-пит'!$388:$389</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тарифов'!$79:$155</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тарифов'!$157:$171</definedName>
    <definedName name="BLOCK_PT_VOTV">'Перечень тарифов'!$173:$187</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территорий'!$E$63:$I$63</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тарифов'!$Z$12:$Z$189</definedName>
    <definedName name="DIFFERENTIATION_TARIFF_VD_ID">'Перечень тарифов'!$AB$12:$AB$189</definedName>
    <definedName name="DIFFERENTIATION_TARIFF_VTAR_ID">'Перечень тарифов'!$AA$12:$AA$189</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территорий'!$C$12:$C$63</definedName>
    <definedName name="pDel_LT_MO">'Список территорий'!$D$11:$D$63</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территорий'!$G$63</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Т-пит'!$T$385</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Т-пит'!$AQ$37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Т-пит'!$43:$58</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тарифов'!$AL$12:$AL$189</definedName>
    <definedName name="PT_DIFFERENTIATION_CS_ID">'Перечень тарифов'!$AF$12:$AF$189</definedName>
    <definedName name="PT_DIFFERENTIATION_IST_TE">'Перечень тарифов'!$AM$12:$AM$189</definedName>
    <definedName name="PT_DIFFERENTIATION_IST_TE_ID">'Перечень тарифов'!$AG$12:$AG$189</definedName>
    <definedName name="PT_DIFFERENTIATION_NTAR">'Перечень тарифов'!$AJ$12:$AJ$189</definedName>
    <definedName name="PT_DIFFERENTIATION_NTAR_ID">'Перечень тарифов'!$AD$12:$AD$189</definedName>
    <definedName name="PT_DIFFERENTIATION_NUM_CS">'Перечень тарифов'!$AP$12:$AP$189</definedName>
    <definedName name="PT_DIFFERENTIATION_NUM_IST_TE">'Перечень тарифов'!$AQ$12:$AQ$189</definedName>
    <definedName name="PT_DIFFERENTIATION_NUM_NTAR">'Перечень тарифов'!$AN$12:$AN$189</definedName>
    <definedName name="PT_DIFFERENTIATION_NUM_TER">'Перечень тарифов'!$AO$12:$AO$189</definedName>
    <definedName name="PT_DIFFERENTIATION_TER">'Перечень тарифов'!$AK$12:$AK$189</definedName>
    <definedName name="PT_DIFFERENTIATION_TER_ID">'Перечень тарифов'!$AE$12:$AE$189</definedName>
    <definedName name="PT_DIFFERENTIATION_VDET">'Перечень тарифов'!$AI$12:$AI$189</definedName>
    <definedName name="PT_DIFFERENTIATION_VTAR">'Перечень тарифов'!$AH$12:$AH$189</definedName>
    <definedName name="PT_DIFFERENTIATION_VTAR_ID">'Перечень тарифов'!$AC$12:$AC$189</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Т-пит'!$41:$384</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Т-пит'!$42:$59</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тарифов'!$W$188</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Т-пит'!$AQ$386</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территорий'!$I$64</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территорий'!$E$11:$I$63</definedName>
    <definedName name="TERRITORY_ID">TEHSHEET!$E$56</definedName>
    <definedName name="TERRITORY_LIST_ID">'Список территорий'!$F$11:$F$63</definedName>
    <definedName name="TERRITORY_MO_LIST">'Список территорий'!$H$11:$H$63</definedName>
    <definedName name="TERRITORY_MR_LIST">'Список территорий'!$G$11:$G$63</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ter_5">'Список территорий'!$G$16:$I$16</definedName>
    <definedName name="ter_51">'Список территорий'!$G$19:$I$19</definedName>
    <definedName name="ter_511">'Список территорий'!$G$22:$I$22</definedName>
    <definedName name="ter_5111">'Список территорий'!$G$25:$I$25</definedName>
    <definedName name="ter_51111">'Список территорий'!$G$28:$I$28</definedName>
    <definedName name="ter_511111">'Список территорий'!$G$31:$I$31</definedName>
    <definedName name="ter_5111111">'Список территорий'!$G$34:$I$34</definedName>
    <definedName name="ter_51111111">'Список территорий'!$G$37:$I$37</definedName>
    <definedName name="ter_511111111">'Список территорий'!$G$40:$I$40</definedName>
    <definedName name="ter_5111111111">'Список территорий'!$G$43:$I$43</definedName>
    <definedName name="ter_51111111111">'Список территорий'!$G$46:$I$46</definedName>
    <definedName name="ter_511111111111">'Список территорий'!$G$49:$I$49</definedName>
    <definedName name="ter_5111111111111">'Список территорий'!$G$52:$I$52</definedName>
    <definedName name="ter_51111111111111">'Список территорий'!$G$55:$I$55</definedName>
    <definedName name="ter_511111111111111">'Список территорий'!$G$58:$I$58</definedName>
    <definedName name="ter_5111111111111111">'Список территорий'!$G$61:$I$61</definedName>
    <definedName name="pt_ter_30">'ХВС. Т-пит'!$60:$77</definedName>
    <definedName name="pt_cs_30">'ХВС. Т-пит'!$61:$76</definedName>
    <definedName name="pt_ter_31">'ХВС. Т-пит'!$78:$95</definedName>
    <definedName name="pt_cs_31">'ХВС. Т-пит'!$79:$94</definedName>
    <definedName name="pt_ter_32">'ХВС. Т-пит'!$96:$113</definedName>
    <definedName name="pt_cs_32">'ХВС. Т-пит'!$97:$112</definedName>
    <definedName name="pt_ter_33">'ХВС. Т-пит'!$114:$131</definedName>
    <definedName name="pt_cs_33">'ХВС. Т-пит'!$115:$130</definedName>
    <definedName name="pt_ter_34">'ХВС. Т-пит'!$132:$169</definedName>
    <definedName name="pt_cs_34">'ХВС. Т-пит'!$133:$152</definedName>
    <definedName name="pt_cs_35">'ХВС. Т-пит'!$153:$168</definedName>
    <definedName name="pt_ter_35">'ХВС. Т-пит'!$170:$187</definedName>
    <definedName name="pt_cs_36">'ХВС. Т-пит'!$171:$186</definedName>
    <definedName name="pt_ter_36">'ХВС. Т-пит'!$188:$205</definedName>
    <definedName name="pt_cs_37">'ХВС. Т-пит'!$189:$204</definedName>
    <definedName name="pt_ter_37">'ХВС. Т-пит'!$206:$223</definedName>
    <definedName name="pt_cs_38">'ХВС. Т-пит'!$207:$222</definedName>
    <definedName name="pt_ter_38">'ХВС. Т-пит'!$224:$241</definedName>
    <definedName name="pt_cs_39">'ХВС. Т-пит'!$225:$240</definedName>
    <definedName name="pt_ter_39">'ХВС. Т-пит'!$242:$259</definedName>
    <definedName name="pt_cs_40">'ХВС. Т-пит'!$243:$258</definedName>
    <definedName name="pt_ter_40">'ХВС. Т-пит'!$260:$277</definedName>
    <definedName name="pt_cs_41">'ХВС. Т-пит'!$261:$276</definedName>
    <definedName name="pt_ter_41">'ХВС. Т-пит'!$278:$295</definedName>
    <definedName name="pt_cs_42">'ХВС. Т-пит'!$279:$294</definedName>
    <definedName name="pt_ter_42">'ХВС. Т-пит'!$296:$313</definedName>
    <definedName name="pt_cs_43">'ХВС. Т-пит'!$297:$312</definedName>
    <definedName name="pt_ter_43">'ХВС. Т-пит'!$314:$331</definedName>
    <definedName name="pt_cs_44">'ХВС. Т-пит'!$315:$330</definedName>
    <definedName name="pt_ter_44">'ХВС. Т-пит'!$332:$349</definedName>
    <definedName name="pt_cs_45">'ХВС. Т-пит'!$333:$348</definedName>
    <definedName name="pt_ter_45">'ХВС. Т-пит'!$350:$383</definedName>
    <definedName name="pt_cs_46">'ХВС. Т-пит'!$351:$366</definedName>
    <definedName name="DESCRIPTION_TERRITORY">REESTR_DS!$B$2:$B$18</definedName>
    <definedName name="pt_cs_47">'ХВС. Т-пит'!$367:$382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<sst xmlns="http://schemas.openxmlformats.org/spreadsheetml/2006/main" count="18158" uniqueCount="4180">
  <si>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</si>
  <si>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</si>
  <si>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</si>
  <si>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</si>
  <si>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</si>
  <si>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</si>
  <si>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</si>
  <si>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</si>
  <si>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</si>
  <si>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</si>
  <si>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</si>
  <si>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</si>
  <si>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</si>
  <si>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28975327</t>
  </si>
  <si>
    <t>Flag_Row_Size</t>
  </si>
  <si>
    <t>Субъект РФ</t>
  </si>
  <si>
    <t>Курская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</si>
  <si>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</si>
  <si>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</si>
  <si>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</si>
  <si>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</si>
  <si>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</si>
  <si>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</si>
  <si>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</si>
  <si>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</si>
  <si>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</si>
  <si>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</si>
  <si>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</si>
  <si>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</si>
  <si>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</si>
  <si>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</si>
  <si>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</si>
  <si>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</si>
  <si>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</si>
  <si>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</si>
  <si>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</si>
  <si>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</si>
  <si>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</si>
  <si>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</si>
  <si>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</si>
  <si>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</si>
  <si>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594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</si>
  <si>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</si>
  <si>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</si>
  <si>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</si>
  <si>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1577</t>
  </si>
  <si>
    <t>Наименование органа регулирования, принявшего решение об изменении тарифов</t>
  </si>
  <si>
    <t>МУП ЖКХ "Родник"</t>
  </si>
  <si>
    <t>Наименование (описание) обособленного подразделения</t>
  </si>
  <si>
    <t>ИНН</t>
  </si>
  <si>
    <t>4611013586</t>
  </si>
  <si>
    <t>КПП</t>
  </si>
  <si>
    <t>461101001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</si>
  <si>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</si>
  <si>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</si>
  <si>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</si>
  <si>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</si>
  <si>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</si>
  <si>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</si>
  <si>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</si>
  <si>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</si>
  <si>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</si>
  <si>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</si>
  <si>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</si>
  <si>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</si>
  <si>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</si>
  <si>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</si>
  <si>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</si>
  <si>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</si>
  <si>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</si>
  <si>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305502 Курская область, Курский район, п. Маршала Жукова, 6 квартал, дом 5</t>
  </si>
  <si>
    <t>Фамилия, имя, отчество руководителя</t>
  </si>
  <si>
    <t>ОБухов Игорь Александрович</t>
  </si>
  <si>
    <t>Ответственный за заполнение формы</t>
  </si>
  <si>
    <t>Фамилия, имя, отчество</t>
  </si>
  <si>
    <t>Чуйкова Наталья Петровна</t>
  </si>
  <si>
    <t>Должность</t>
  </si>
  <si>
    <t>главный экономист</t>
  </si>
  <si>
    <t>Контактный телефон</t>
  </si>
  <si>
    <t>(4712)72-14-91</t>
  </si>
  <si>
    <t>E-mail</t>
  </si>
  <si>
    <t>rodnik4611013586@yandex.ru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</si>
  <si>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</si>
  <si>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</si>
  <si>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</si>
  <si>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</si>
  <si>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</si>
  <si>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</si>
  <si>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</si>
  <si>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</si>
  <si>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</si>
  <si>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</si>
  <si>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</si>
  <si>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</si>
  <si>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</si>
  <si>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</si>
  <si>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</si>
  <si>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</si>
  <si>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</si>
  <si>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127</t>
  </si>
  <si>
    <t>Курский муниципальный район</t>
  </si>
  <si>
    <t>Бесединский сельсовет</t>
  </si>
  <si>
    <t>38620408</t>
  </si>
  <si>
    <t>Добавить МО</t>
  </si>
  <si>
    <t>2</t>
  </si>
  <si>
    <t>×</t>
  </si>
  <si>
    <t>ter_5</t>
  </si>
  <si>
    <t>128</t>
  </si>
  <si>
    <t>Брежневский сельсовет</t>
  </si>
  <si>
    <t>38620412</t>
  </si>
  <si>
    <t>ter_51</t>
  </si>
  <si>
    <t>129</t>
  </si>
  <si>
    <t>Винниковский сельсовет</t>
  </si>
  <si>
    <t>38620420</t>
  </si>
  <si>
    <t>ter_511</t>
  </si>
  <si>
    <t>130</t>
  </si>
  <si>
    <t>Ворошневский сельсовет</t>
  </si>
  <si>
    <t>38620424</t>
  </si>
  <si>
    <t>5</t>
  </si>
  <si>
    <t>ter_5111</t>
  </si>
  <si>
    <t>131</t>
  </si>
  <si>
    <t>Камышинский сельсовет</t>
  </si>
  <si>
    <t>38620426</t>
  </si>
  <si>
    <t>ter_51111</t>
  </si>
  <si>
    <t>132</t>
  </si>
  <si>
    <t>Клюквинский сельсовет</t>
  </si>
  <si>
    <t>38620428</t>
  </si>
  <si>
    <t>ter_511111</t>
  </si>
  <si>
    <t>134</t>
  </si>
  <si>
    <t>Лебяженский сельсовет</t>
  </si>
  <si>
    <t>38620432</t>
  </si>
  <si>
    <t>8</t>
  </si>
  <si>
    <t>ter_5111111</t>
  </si>
  <si>
    <t>135</t>
  </si>
  <si>
    <t>Моковский сельсовет</t>
  </si>
  <si>
    <t>38620436</t>
  </si>
  <si>
    <t>9</t>
  </si>
  <si>
    <t>ter_51111111</t>
  </si>
  <si>
    <t>136</t>
  </si>
  <si>
    <t>Нижнемедведицкий сельсовет</t>
  </si>
  <si>
    <t>38620448</t>
  </si>
  <si>
    <t>10</t>
  </si>
  <si>
    <t>ter_511111111</t>
  </si>
  <si>
    <t>137</t>
  </si>
  <si>
    <t>Новопоселеновский сельсовет</t>
  </si>
  <si>
    <t>38620452</t>
  </si>
  <si>
    <t>11</t>
  </si>
  <si>
    <t>ter_5111111111</t>
  </si>
  <si>
    <t>138</t>
  </si>
  <si>
    <t>Ноздрачевский сельсовет</t>
  </si>
  <si>
    <t>38620456</t>
  </si>
  <si>
    <t>12</t>
  </si>
  <si>
    <t>ter_51111111111</t>
  </si>
  <si>
    <t>139</t>
  </si>
  <si>
    <t>Пашковский сельсовет</t>
  </si>
  <si>
    <t>38620460</t>
  </si>
  <si>
    <t>13</t>
  </si>
  <si>
    <t>ter_511111111111</t>
  </si>
  <si>
    <t>140</t>
  </si>
  <si>
    <t>Полевской сельсовет</t>
  </si>
  <si>
    <t>38620468</t>
  </si>
  <si>
    <t>14</t>
  </si>
  <si>
    <t>ter_5111111111111</t>
  </si>
  <si>
    <t>141</t>
  </si>
  <si>
    <t>Полянский сельсовет</t>
  </si>
  <si>
    <t>38620472</t>
  </si>
  <si>
    <t>15</t>
  </si>
  <si>
    <t>ter_51111111111111</t>
  </si>
  <si>
    <t>142</t>
  </si>
  <si>
    <t>Рышковский сельсовет</t>
  </si>
  <si>
    <t>38620476</t>
  </si>
  <si>
    <t>16</t>
  </si>
  <si>
    <t>ter_511111111111111</t>
  </si>
  <si>
    <t>143</t>
  </si>
  <si>
    <t>Шумаковский сельсовет</t>
  </si>
  <si>
    <t>38620488</t>
  </si>
  <si>
    <t>17</t>
  </si>
  <si>
    <t>ter_5111111111111111</t>
  </si>
  <si>
    <t>144</t>
  </si>
  <si>
    <t>Щетинский сельсовет</t>
  </si>
  <si>
    <t>38620492</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</si>
  <si>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</si>
  <si>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</si>
  <si>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</si>
  <si>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</si>
  <si>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</si>
  <si>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</si>
  <si>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</si>
  <si>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</si>
  <si>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</si>
  <si>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</si>
  <si>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</si>
  <si>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</si>
  <si>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</si>
  <si>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</si>
  <si>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</si>
  <si>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</si>
  <si>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</si>
  <si>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</si>
  <si>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</si>
  <si>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</si>
  <si>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</si>
  <si>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</si>
  <si>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</si>
  <si>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</si>
  <si>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</si>
  <si>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</si>
  <si>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</si>
  <si>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</si>
  <si>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</si>
  <si>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</si>
  <si>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</si>
  <si>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</si>
  <si>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</si>
  <si>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</si>
  <si>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</si>
  <si>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</si>
  <si>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</si>
  <si>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</si>
  <si>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</si>
  <si>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</si>
  <si>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</si>
  <si>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</si>
  <si>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</si>
  <si>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</si>
  <si>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</si>
  <si>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</si>
  <si>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</si>
  <si>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</si>
  <si>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</si>
  <si>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</si>
  <si>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</si>
  <si>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</si>
  <si>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</si>
  <si>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</si>
  <si>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</si>
  <si>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</si>
  <si>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</si>
  <si>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</si>
  <si>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</si>
  <si>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</si>
  <si>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</si>
  <si>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</si>
  <si>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</si>
  <si>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</si>
  <si>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</si>
  <si>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</si>
  <si>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</si>
  <si>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</si>
  <si>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</si>
  <si>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</si>
  <si>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</si>
  <si>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</si>
  <si>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</si>
  <si>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</si>
  <si>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</si>
  <si>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</si>
  <si>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</si>
  <si>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</si>
  <si>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</si>
  <si>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</si>
  <si>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</si>
  <si>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</si>
  <si>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</si>
  <si>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</si>
  <si>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</si>
  <si>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</si>
  <si>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</si>
  <si>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</si>
  <si>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</si>
  <si>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</si>
  <si>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</si>
  <si>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</si>
  <si>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</si>
  <si>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</si>
  <si>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</si>
  <si>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</si>
  <si>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</si>
  <si>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</si>
  <si>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</si>
  <si>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</si>
  <si>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</si>
  <si>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</si>
  <si>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</si>
  <si>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</si>
  <si>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</si>
  <si>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</si>
  <si>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</si>
  <si>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</si>
  <si>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</si>
  <si>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</si>
  <si>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</si>
  <si>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Питьевая вода</t>
  </si>
  <si>
    <t>"4189671"</t>
  </si>
  <si>
    <t>pIns_PT_VTAR_A_COLDVSNA</t>
  </si>
  <si>
    <t>pt_ntar_9</t>
  </si>
  <si>
    <t>pt_ter_9</t>
  </si>
  <si>
    <t>pt_cs_9</t>
  </si>
  <si>
    <t>Добавить централизованную систему для дифференциации</t>
  </si>
  <si>
    <t>pt_ter_30</t>
  </si>
  <si>
    <t>pt_cs_30</t>
  </si>
  <si>
    <t>pt_ist_te_30</t>
  </si>
  <si>
    <t>pt_ter_31</t>
  </si>
  <si>
    <t>pt_cs_31</t>
  </si>
  <si>
    <t>pt_ist_te_31</t>
  </si>
  <si>
    <t>pt_ter_32</t>
  </si>
  <si>
    <t>pt_cs_32</t>
  </si>
  <si>
    <t>pt_ist_te_32</t>
  </si>
  <si>
    <t>pt_ter_33</t>
  </si>
  <si>
    <t>pt_cs_33</t>
  </si>
  <si>
    <t>pt_ist_te_33</t>
  </si>
  <si>
    <t>п. им. Маршала Жукова</t>
  </si>
  <si>
    <t>pt_ter_34</t>
  </si>
  <si>
    <t>pt_cs_34</t>
  </si>
  <si>
    <t>pt_ist_te_34</t>
  </si>
  <si>
    <t>кроме п. им. Маршала Жукова</t>
  </si>
  <si>
    <t>pt_cs_35</t>
  </si>
  <si>
    <t>pt_ist_te_35</t>
  </si>
  <si>
    <t>pt_ter_35</t>
  </si>
  <si>
    <t>pt_cs_36</t>
  </si>
  <si>
    <t>pt_ist_te_36</t>
  </si>
  <si>
    <t>pt_ter_36</t>
  </si>
  <si>
    <t>pt_cs_37</t>
  </si>
  <si>
    <t>pt_ist_te_37</t>
  </si>
  <si>
    <t>pt_ter_37</t>
  </si>
  <si>
    <t>pt_cs_38</t>
  </si>
  <si>
    <t>pt_ist_te_38</t>
  </si>
  <si>
    <t>pt_ter_38</t>
  </si>
  <si>
    <t>pt_cs_39</t>
  </si>
  <si>
    <t>pt_ist_te_39</t>
  </si>
  <si>
    <t>pt_ter_39</t>
  </si>
  <si>
    <t>pt_cs_40</t>
  </si>
  <si>
    <t>pt_ist_te_40</t>
  </si>
  <si>
    <t>pt_ter_40</t>
  </si>
  <si>
    <t>pt_cs_41</t>
  </si>
  <si>
    <t>pt_ist_te_41</t>
  </si>
  <si>
    <t>pt_ter_41</t>
  </si>
  <si>
    <t>pt_cs_42</t>
  </si>
  <si>
    <t>pt_ist_te_42</t>
  </si>
  <si>
    <t>pt_ter_42</t>
  </si>
  <si>
    <t>pt_cs_43</t>
  </si>
  <si>
    <t>pt_ist_te_43</t>
  </si>
  <si>
    <t>pt_ter_43</t>
  </si>
  <si>
    <t>pt_cs_44</t>
  </si>
  <si>
    <t>pt_ist_te_44</t>
  </si>
  <si>
    <t>pt_ter_44</t>
  </si>
  <si>
    <t>pt_cs_45</t>
  </si>
  <si>
    <t>pt_ist_te_45</t>
  </si>
  <si>
    <t>п. Искра</t>
  </si>
  <si>
    <t>pt_ter_45</t>
  </si>
  <si>
    <t>pt_cs_46</t>
  </si>
  <si>
    <t>pt_ist_te_46</t>
  </si>
  <si>
    <t>кроме п. Искра</t>
  </si>
  <si>
    <t>pt_cs_47</t>
  </si>
  <si>
    <t>pt_ist_te_47</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</si>
  <si>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</si>
  <si>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</si>
  <si>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</si>
  <si>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</si>
  <si>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</si>
  <si>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</si>
  <si>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</si>
  <si>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</si>
  <si>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</si>
  <si>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</si>
  <si>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</si>
  <si>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</si>
  <si>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</si>
  <si>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</si>
  <si>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</si>
  <si>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</si>
  <si>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</si>
  <si>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</si>
  <si>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</si>
  <si>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</si>
  <si>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</si>
  <si>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</si>
  <si>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</si>
  <si>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</si>
  <si>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</si>
  <si>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</si>
  <si>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</si>
  <si>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</si>
  <si>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</si>
  <si>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</si>
  <si>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</si>
  <si>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</si>
  <si>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</si>
  <si>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</si>
  <si>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</si>
  <si>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</si>
  <si>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</si>
  <si>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</si>
  <si>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</si>
  <si>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</si>
  <si>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</si>
  <si>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</si>
  <si>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</si>
  <si>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</si>
  <si>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</si>
  <si>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</si>
  <si>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</si>
  <si>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</si>
  <si>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</si>
  <si>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</si>
  <si>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</si>
  <si>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</si>
  <si>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</si>
  <si>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</si>
  <si>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</si>
  <si>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</si>
  <si>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</si>
  <si>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</si>
  <si>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</si>
  <si>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</si>
  <si>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</si>
  <si>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</si>
  <si>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</si>
  <si>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</si>
  <si>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</si>
  <si>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</si>
  <si>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</si>
  <si>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</si>
  <si>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</si>
  <si>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</si>
  <si>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</si>
  <si>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</si>
  <si>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</si>
  <si>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</si>
  <si>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</si>
  <si>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</si>
  <si>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</si>
  <si>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</si>
  <si>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</si>
  <si>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</si>
  <si>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</si>
  <si>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</si>
  <si>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</si>
  <si>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</si>
  <si>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</si>
  <si>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</si>
  <si>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</si>
  <si>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</si>
  <si>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</si>
  <si>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</si>
  <si>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</si>
  <si>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</si>
  <si>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</si>
  <si>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</si>
  <si>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</si>
  <si>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</si>
  <si>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</si>
  <si>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</si>
  <si>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</si>
  <si>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</si>
  <si>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</si>
  <si>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</si>
  <si>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</si>
  <si>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</si>
  <si>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</si>
  <si>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</si>
  <si>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</si>
  <si>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</si>
  <si>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</si>
  <si>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</si>
  <si>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</si>
  <si>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</si>
  <si>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</si>
  <si>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</si>
  <si>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</si>
  <si>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</si>
  <si>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</si>
  <si>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</si>
  <si>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</si>
  <si>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</si>
  <si>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</si>
  <si>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</si>
  <si>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</si>
  <si>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</si>
  <si>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</si>
  <si>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</si>
  <si>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</si>
  <si>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</si>
  <si>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</si>
  <si>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</si>
  <si>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</si>
  <si>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</si>
  <si>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</si>
  <si>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</si>
  <si>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</si>
  <si>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</si>
  <si>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</si>
  <si>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</si>
  <si>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</si>
  <si>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</si>
  <si>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</si>
  <si>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</si>
  <si>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</si>
  <si>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</si>
  <si>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</si>
  <si>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</si>
  <si>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</si>
  <si>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</si>
  <si>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</si>
  <si>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</si>
  <si>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</si>
  <si>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</si>
  <si>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</si>
  <si>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</si>
  <si>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</si>
  <si>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</si>
  <si>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</si>
  <si>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</si>
  <si>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</si>
  <si>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</si>
  <si>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</si>
  <si>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</si>
  <si>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</si>
  <si>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</si>
  <si>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</si>
  <si>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</si>
  <si>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</si>
  <si>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</si>
  <si>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</si>
  <si>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</si>
  <si>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</si>
  <si>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</si>
  <si>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</si>
  <si>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</si>
  <si>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</si>
  <si>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</si>
  <si>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</si>
  <si>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</si>
  <si>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</si>
  <si>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</si>
  <si>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</si>
  <si>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</si>
  <si>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</si>
  <si>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</si>
  <si>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</si>
  <si>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</si>
  <si>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</si>
  <si>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</si>
  <si>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</si>
  <si>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</si>
  <si>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</si>
  <si>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</si>
  <si>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</si>
  <si>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</si>
  <si>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</si>
  <si>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</si>
  <si>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</si>
  <si>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</si>
  <si>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</si>
  <si>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</si>
  <si>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</si>
  <si>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</si>
  <si>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</si>
  <si>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</si>
  <si>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</si>
  <si>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</si>
  <si>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</si>
  <si>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</si>
  <si>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</si>
  <si>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</si>
  <si>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</si>
  <si>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</si>
  <si>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</si>
  <si>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</si>
  <si>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</si>
  <si>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</si>
  <si>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</si>
  <si>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</si>
  <si>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</si>
  <si>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</si>
  <si>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</si>
  <si>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</si>
  <si>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</si>
  <si>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</si>
  <si>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</si>
  <si>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</si>
  <si>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</si>
  <si>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</si>
  <si>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</si>
  <si>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</si>
  <si>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</si>
  <si>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</si>
  <si>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</si>
  <si>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</si>
  <si>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</si>
  <si>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</si>
  <si>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</si>
  <si>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</si>
  <si>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</si>
  <si>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</si>
  <si>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</si>
  <si>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</si>
  <si>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</si>
  <si>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</si>
  <si>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</si>
  <si>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</si>
  <si>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</si>
  <si>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</si>
  <si>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</si>
  <si>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</si>
  <si>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</si>
  <si>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</si>
  <si>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</si>
  <si>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</si>
  <si>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</si>
  <si>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</si>
  <si>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</si>
  <si>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</si>
  <si>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</si>
  <si>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</si>
  <si>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</si>
  <si>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</si>
  <si>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</si>
  <si>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</si>
  <si>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</si>
  <si>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</si>
  <si>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население</t>
  </si>
  <si>
    <t>бюджетные организации</t>
  </si>
  <si>
    <t>прочие</t>
  </si>
  <si>
    <t>на цели приготовления горячей воды населению для АО "Газспецресурс"</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</si>
  <si>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</si>
  <si>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</si>
  <si>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</si>
  <si>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</si>
  <si>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</si>
  <si>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</si>
  <si>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</si>
  <si>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</si>
  <si>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</si>
  <si>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</si>
  <si>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</si>
  <si>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</si>
  <si>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</si>
  <si>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</si>
  <si>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</si>
  <si>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</si>
  <si>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</si>
  <si>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</si>
  <si>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</si>
  <si>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</si>
  <si>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</si>
  <si>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</si>
  <si>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</si>
  <si>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</si>
  <si>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</si>
  <si>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</si>
  <si>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</si>
  <si>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</si>
  <si>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</si>
  <si>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</si>
  <si>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</si>
  <si>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</si>
  <si>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</si>
  <si>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</si>
  <si>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</si>
  <si>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</si>
  <si>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</si>
  <si>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</si>
  <si>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</si>
  <si>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</si>
  <si>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</si>
  <si>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</si>
  <si>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</si>
  <si>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</si>
  <si>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</si>
  <si>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</si>
  <si>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</si>
  <si>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</si>
  <si>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</si>
  <si>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</si>
  <si>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</si>
  <si>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</si>
  <si>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</si>
  <si>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</si>
  <si>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</si>
  <si>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</si>
  <si>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</si>
  <si>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</si>
  <si>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</si>
  <si>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</si>
  <si>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</si>
  <si>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</si>
  <si>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</si>
  <si>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</si>
  <si>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</si>
  <si>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</si>
  <si>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</si>
  <si>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</si>
  <si>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</si>
  <si>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</si>
  <si>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</si>
  <si>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</si>
  <si>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</si>
  <si>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</si>
  <si>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</si>
  <si>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</si>
  <si>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</si>
  <si>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</si>
  <si>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</si>
  <si>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</si>
  <si>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</si>
  <si>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</si>
  <si>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</si>
  <si>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</si>
  <si>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</si>
  <si>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</si>
  <si>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</si>
  <si>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</si>
  <si>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</si>
  <si>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</si>
  <si>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</si>
  <si>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</si>
  <si>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</si>
  <si>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</si>
  <si>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</si>
  <si>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</si>
  <si>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</si>
  <si>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</si>
  <si>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</si>
  <si>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</si>
  <si>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</si>
  <si>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</si>
  <si>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</si>
  <si>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</si>
  <si>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</si>
  <si>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</si>
  <si>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</si>
  <si>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</si>
  <si>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</si>
  <si>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</si>
  <si>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</si>
  <si>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</si>
  <si>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</si>
  <si>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</si>
  <si>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</si>
  <si>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</si>
  <si>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</si>
  <si>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</si>
  <si>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</si>
  <si>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</si>
  <si>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</si>
  <si>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</si>
  <si>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</si>
  <si>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</si>
  <si>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</si>
  <si>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</si>
  <si>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</si>
  <si>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</si>
  <si>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</si>
  <si>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</si>
  <si>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</si>
  <si>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</si>
  <si>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</si>
  <si>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</si>
  <si>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</si>
  <si>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</si>
  <si>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</si>
  <si>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</si>
  <si>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</si>
  <si>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</si>
  <si>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</si>
  <si>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</si>
  <si>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</si>
  <si>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</si>
  <si>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</si>
  <si>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</si>
  <si>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</si>
  <si>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</si>
  <si>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</si>
  <si>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</si>
  <si>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</si>
  <si>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</si>
  <si>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</si>
  <si>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</si>
  <si>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</si>
  <si>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</si>
  <si>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</si>
  <si>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</si>
  <si>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</si>
  <si>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</si>
  <si>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</si>
  <si>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</si>
  <si>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</si>
  <si>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</si>
  <si>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</si>
  <si>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</si>
  <si>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</si>
  <si>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</si>
  <si>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</si>
  <si>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</si>
  <si>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</si>
  <si>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</si>
  <si>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</si>
  <si>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</si>
  <si>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</si>
  <si>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</si>
  <si>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</si>
  <si>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</si>
  <si>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</si>
  <si>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</si>
  <si>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</si>
  <si>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</si>
  <si>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</si>
  <si>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</si>
  <si>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</si>
  <si>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</si>
  <si>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</si>
  <si>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</si>
  <si>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</si>
  <si>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</si>
  <si>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</si>
  <si>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</si>
  <si>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</si>
  <si>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</si>
  <si>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</si>
  <si>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</si>
  <si>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</si>
  <si>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</si>
  <si>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</si>
  <si>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</si>
  <si>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</si>
  <si>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</si>
  <si>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</si>
  <si>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</si>
  <si>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</si>
  <si>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</si>
  <si>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</si>
  <si>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</si>
  <si>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</si>
  <si>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</si>
  <si>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</si>
  <si>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</si>
  <si>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</si>
  <si>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</si>
  <si>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</si>
  <si>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</si>
  <si>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</si>
  <si>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</si>
  <si>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</si>
  <si>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</si>
  <si>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</si>
  <si>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</si>
  <si>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</si>
  <si>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</si>
  <si>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</si>
  <si>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</si>
  <si>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</si>
  <si>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</si>
  <si>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</si>
  <si>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</si>
  <si>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</si>
  <si>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</si>
  <si>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</si>
  <si>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</si>
  <si>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</si>
  <si>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</si>
  <si>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</si>
  <si>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</si>
  <si>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</si>
  <si>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</si>
  <si>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</si>
  <si>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</si>
  <si>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</si>
  <si>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</si>
  <si>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</si>
  <si>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</si>
  <si>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</si>
  <si>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</si>
  <si>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</si>
  <si>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</si>
  <si>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</si>
  <si>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</si>
  <si>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</si>
  <si>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</si>
  <si>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</si>
  <si>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</si>
  <si>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</si>
  <si>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</si>
  <si>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</si>
  <si>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</si>
  <si>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</si>
  <si>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</si>
  <si>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</si>
  <si>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</si>
  <si>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</si>
  <si>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</si>
  <si>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</si>
  <si>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</si>
  <si>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</si>
  <si>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</si>
  <si>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</si>
  <si>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</si>
  <si>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</si>
  <si>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</si>
  <si>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</si>
  <si>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</si>
  <si>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</si>
  <si>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</si>
  <si>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</si>
  <si>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</si>
  <si>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</si>
  <si>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</si>
  <si>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</si>
  <si>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</si>
  <si>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</si>
  <si>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</si>
  <si>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</si>
  <si>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</si>
  <si>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</si>
  <si>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</si>
  <si>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</si>
  <si>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</si>
  <si>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</si>
  <si>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</si>
  <si>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</si>
  <si>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</si>
  <si>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</si>
  <si>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</si>
  <si>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</si>
  <si>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</si>
  <si>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</si>
  <si>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</si>
  <si>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</si>
  <si>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</si>
  <si>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</si>
  <si>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</si>
  <si>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</si>
  <si>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</si>
  <si>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</si>
  <si>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</si>
  <si>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</si>
  <si>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</si>
  <si>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</si>
  <si>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</si>
  <si>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</si>
  <si>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</si>
  <si>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</si>
  <si>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</si>
  <si>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</si>
  <si>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</si>
  <si>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</si>
  <si>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</si>
  <si>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</si>
  <si>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</si>
  <si>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</si>
  <si>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</si>
  <si>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</si>
  <si>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</si>
  <si>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</si>
  <si>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</si>
  <si>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</si>
  <si>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</si>
  <si>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</si>
  <si>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</si>
  <si>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</si>
  <si>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</si>
  <si>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</si>
  <si>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</si>
  <si>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</si>
  <si>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</si>
  <si>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</si>
  <si>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</si>
  <si>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</si>
  <si>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</si>
  <si>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</si>
  <si>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</si>
  <si>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</si>
  <si>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</si>
  <si>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</si>
  <si>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</si>
  <si>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</si>
  <si>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</si>
  <si>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</si>
  <si>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</si>
  <si>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</si>
  <si>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</si>
  <si>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</si>
  <si>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</si>
  <si>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</si>
  <si>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</si>
  <si>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</si>
  <si>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</si>
  <si>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</si>
  <si>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</si>
  <si>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</si>
  <si>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</si>
  <si>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</si>
  <si>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</si>
  <si>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</si>
  <si>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</si>
  <si>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</si>
  <si>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</si>
  <si>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</si>
  <si>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</si>
  <si>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</si>
  <si>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</si>
  <si>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</si>
  <si>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</si>
  <si>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</si>
  <si>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</si>
  <si>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</si>
  <si>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</si>
  <si>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</si>
  <si>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</si>
  <si>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</si>
  <si>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</si>
  <si>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</si>
  <si>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</si>
  <si>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</si>
  <si>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</si>
  <si>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</si>
  <si>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</si>
  <si>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</si>
  <si>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</si>
  <si>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</si>
  <si>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</si>
  <si>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</si>
  <si>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</si>
  <si>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</si>
  <si>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</si>
  <si>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</si>
  <si>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</si>
  <si>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</si>
  <si>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</si>
  <si>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</si>
  <si>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</si>
  <si>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</si>
  <si>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</si>
  <si>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</si>
  <si>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</si>
  <si>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</si>
  <si>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</si>
  <si>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</si>
  <si>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</si>
  <si>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</si>
  <si>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</si>
  <si>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</si>
  <si>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</si>
  <si>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</si>
  <si>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</si>
  <si>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</si>
  <si>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</si>
  <si>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</si>
  <si>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</si>
  <si>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</si>
  <si>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</si>
  <si>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</si>
  <si>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</si>
  <si>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</si>
  <si>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</si>
  <si>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</si>
  <si>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</si>
  <si>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</si>
  <si>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</si>
  <si>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</si>
  <si>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</si>
  <si>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</si>
  <si>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</si>
  <si>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</si>
  <si>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</si>
  <si>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</si>
  <si>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</si>
  <si>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</si>
  <si>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</si>
  <si>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</si>
  <si>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</si>
  <si>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</si>
  <si>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</si>
  <si>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</si>
  <si>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</si>
  <si>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</si>
  <si>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</si>
  <si>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</si>
  <si>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</si>
  <si>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</si>
  <si>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</si>
  <si>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</si>
  <si>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</si>
  <si>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</si>
  <si>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</si>
  <si>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</si>
  <si>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</si>
  <si>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</si>
  <si>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</si>
  <si>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</si>
  <si>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</si>
  <si>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</si>
  <si>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</si>
  <si>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</si>
  <si>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</si>
  <si>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</si>
  <si>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</si>
  <si>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</si>
  <si>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</si>
  <si>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</si>
  <si>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</si>
  <si>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</si>
  <si>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</si>
  <si>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</si>
  <si>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</si>
  <si>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</si>
  <si>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</si>
  <si>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</si>
  <si>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</si>
  <si>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</si>
  <si>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</si>
  <si>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</si>
  <si>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</si>
  <si>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</si>
  <si>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</si>
  <si>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</si>
  <si>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</si>
  <si>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</si>
  <si>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</si>
  <si>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</si>
  <si>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</si>
  <si>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</si>
  <si>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</si>
  <si>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</si>
  <si>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</si>
  <si>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</si>
  <si>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</si>
  <si>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</si>
  <si>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</si>
  <si>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</si>
  <si>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</si>
  <si>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</si>
  <si>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</si>
  <si>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</si>
  <si>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</si>
  <si>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</si>
  <si>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</si>
  <si>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</si>
  <si>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</si>
  <si>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</si>
  <si>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</si>
  <si>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</si>
  <si>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</si>
  <si>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</si>
  <si>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</si>
  <si>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</si>
  <si>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</si>
  <si>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</si>
  <si>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</si>
  <si>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</si>
  <si>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</si>
  <si>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</si>
  <si>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</si>
  <si>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</si>
  <si>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</si>
  <si>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</si>
  <si>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</si>
  <si>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</si>
  <si>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</si>
  <si>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</si>
  <si>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</si>
  <si>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</si>
  <si>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</si>
  <si>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</si>
  <si>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</si>
  <si>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</si>
  <si>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</si>
  <si>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</si>
  <si>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</si>
  <si>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</si>
  <si>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</si>
  <si>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</si>
  <si>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</si>
  <si>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</si>
  <si>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</si>
  <si>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</si>
  <si>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</si>
  <si>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</si>
  <si>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</si>
  <si>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</si>
  <si>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</si>
  <si>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</si>
  <si>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</si>
  <si>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</si>
  <si>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</si>
  <si>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</si>
  <si>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</si>
  <si>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</si>
  <si>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</si>
  <si>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</si>
  <si>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</si>
  <si>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</si>
  <si>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</si>
  <si>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</si>
  <si>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</si>
  <si>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</si>
  <si>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</si>
  <si>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</si>
  <si>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</si>
  <si>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</si>
  <si>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</si>
  <si>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</si>
  <si>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</si>
  <si>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</si>
  <si>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</si>
  <si>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</si>
  <si>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</si>
  <si>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</si>
  <si>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</si>
  <si>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</si>
  <si>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</si>
  <si>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</si>
  <si>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</si>
  <si>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</si>
  <si>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</si>
  <si>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</si>
  <si>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</si>
  <si>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</si>
  <si>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</si>
  <si>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</si>
  <si>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</si>
  <si>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</si>
  <si>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</si>
  <si>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</si>
  <si>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</si>
  <si>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</si>
  <si>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</si>
  <si>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</si>
  <si>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</si>
  <si>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</si>
  <si>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</si>
  <si>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</si>
  <si>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</si>
  <si>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</si>
  <si>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</si>
  <si>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</si>
  <si>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</si>
  <si>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</si>
  <si>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</si>
  <si>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</si>
  <si>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</si>
  <si>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</si>
  <si>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</si>
  <si>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</si>
  <si>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</si>
  <si>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</si>
  <si>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</si>
  <si>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</si>
  <si>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</si>
  <si>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</si>
  <si>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</si>
  <si>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</si>
  <si>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</si>
  <si>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</si>
  <si>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</si>
  <si>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</si>
  <si>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</si>
  <si>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</si>
  <si>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</si>
  <si>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</si>
  <si>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</si>
  <si>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</si>
  <si>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</si>
  <si>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</si>
  <si>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</si>
  <si>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</si>
  <si>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</si>
  <si>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</si>
  <si>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</si>
  <si>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</si>
  <si>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</si>
  <si>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</si>
  <si>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</si>
  <si>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</si>
  <si>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</si>
  <si>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</si>
  <si>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</si>
  <si>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</si>
  <si>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</si>
  <si>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</si>
  <si>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https://portal.eias.ru/Portal/DownloadPage.aspx?type=12&amp;guid=9da2f0cf-277e-40f7-9255-f03fe4971bf0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</si>
  <si>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</si>
  <si>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</si>
  <si>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</si>
  <si>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Федеральный закон от 18 июля 2011 года №223-ФЗ "О закупках таваров,работ, услуг отдельными видами юридических лиц"</t>
  </si>
  <si>
    <t>http://rodnik46.ru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</si>
  <si>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</si>
  <si>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Главный портал закупок (официальный сайт ЕИС в сфере закупок)</t>
  </si>
  <si>
    <t>https://zakupki.gov.ru</t>
  </si>
  <si>
    <t>План закупок</t>
  </si>
  <si>
    <t>https://zakupki.gov.ru/epz/orderplan/purchase-plan/card/common-info.html?id=739772&amp;infoId=5558078</t>
  </si>
  <si>
    <t>Положение</t>
  </si>
  <si>
    <t>https://zakupki.gov.ru/epz/orderclause/search/results.html?searchString=4611013586&amp;morphology=on&amp;search-filter=Дате+размещения&amp;sortBy=UPDATE_DATE&amp;pageNumber=1&amp;sortDirection=false&amp;recordsPerPage=_10&amp;showLotsInfoHidden=false-</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</si>
  <si>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</si>
  <si>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</si>
  <si>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</si>
  <si>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</si>
  <si>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</si>
  <si>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</si>
  <si>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</si>
  <si>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</si>
  <si>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</si>
  <si>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</si>
  <si>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</si>
  <si>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</si>
  <si>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</si>
  <si>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</si>
  <si>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</si>
  <si>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</si>
  <si>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</si>
  <si>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</si>
  <si>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</si>
  <si>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</si>
  <si>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</si>
  <si>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</si>
  <si>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</si>
  <si>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</si>
  <si>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</si>
  <si>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</si>
  <si>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</si>
  <si>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</si>
  <si>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</si>
  <si>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</si>
  <si>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</si>
  <si>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</si>
  <si>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</si>
  <si>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</si>
  <si>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</si>
  <si>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</si>
  <si>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</si>
  <si>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</si>
  <si>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</si>
  <si>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</si>
  <si>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</si>
  <si>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</si>
  <si>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</si>
  <si>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</si>
  <si>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</si>
  <si>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</si>
  <si>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</si>
  <si>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</si>
  <si>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</si>
  <si>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</si>
  <si>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</si>
  <si>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</si>
  <si>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</si>
  <si>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</si>
  <si>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</si>
  <si>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</si>
  <si>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</si>
  <si>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</si>
  <si>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</si>
  <si>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</si>
  <si>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</si>
  <si>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</si>
  <si>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</si>
  <si>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</si>
  <si>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</si>
  <si>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</si>
  <si>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</si>
  <si>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</si>
  <si>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</si>
  <si>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</si>
  <si>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</si>
  <si>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</si>
  <si>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</si>
  <si>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</si>
  <si>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</si>
  <si>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</si>
  <si>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</si>
  <si>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</si>
  <si>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</si>
  <si>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</si>
  <si>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</si>
  <si>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</si>
  <si>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</si>
  <si>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</si>
  <si>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</si>
  <si>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</si>
  <si>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</si>
  <si>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</si>
  <si>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</si>
  <si>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</si>
  <si>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</si>
  <si>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</si>
  <si>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</si>
  <si>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</si>
  <si>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</si>
  <si>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</si>
  <si>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</si>
  <si>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</si>
  <si>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</si>
  <si>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</si>
  <si>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</si>
  <si>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</si>
  <si>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</si>
  <si>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</si>
  <si>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</si>
  <si>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</si>
  <si>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</si>
  <si>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</si>
  <si>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</si>
  <si>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</si>
  <si>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</si>
  <si>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</si>
  <si>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</si>
  <si>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</si>
  <si>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</si>
  <si>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</si>
  <si>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</si>
  <si>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</si>
  <si>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</si>
  <si>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</si>
  <si>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</si>
  <si>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</si>
  <si>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</si>
  <si>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</si>
  <si>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</si>
  <si>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</si>
  <si>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</si>
  <si>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</si>
  <si>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</si>
  <si>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</si>
  <si>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</si>
  <si>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</si>
  <si>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</si>
  <si>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</si>
  <si>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</si>
  <si>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</si>
  <si>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</si>
  <si>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</si>
  <si>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</si>
  <si>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</si>
  <si>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</si>
  <si>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</si>
  <si>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</si>
  <si>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</si>
  <si>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</si>
  <si>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</si>
  <si>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</si>
  <si>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</si>
  <si>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</si>
  <si>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</si>
  <si>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</si>
  <si>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</si>
  <si>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</si>
  <si>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</si>
  <si>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</si>
  <si>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</si>
  <si>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</si>
  <si>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</si>
  <si>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</si>
  <si>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</si>
  <si>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</si>
  <si>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</si>
  <si>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</si>
  <si>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</si>
  <si>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</si>
  <si>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</si>
  <si>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</si>
  <si>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</si>
  <si>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</si>
  <si>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</si>
  <si>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</si>
  <si>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</si>
  <si>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</si>
  <si>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</si>
  <si>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</si>
  <si>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</si>
  <si>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</si>
  <si>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</si>
  <si>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</si>
  <si>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</si>
  <si>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</si>
  <si>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</si>
  <si>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</si>
  <si>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</si>
  <si>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</si>
  <si>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</si>
  <si>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</si>
  <si>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</si>
  <si>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</si>
  <si>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</si>
  <si>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</si>
  <si>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</si>
  <si>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</si>
  <si>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</si>
  <si>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</si>
  <si>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</si>
  <si>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</si>
  <si>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</si>
  <si>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</si>
  <si>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</si>
  <si>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</si>
  <si>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</si>
  <si>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</si>
  <si>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</si>
  <si>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</si>
  <si>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</si>
  <si>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</si>
  <si>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</si>
  <si>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</si>
  <si>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</si>
  <si>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</si>
  <si>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</si>
  <si>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</si>
  <si>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</si>
  <si>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</si>
  <si>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</si>
  <si>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</si>
  <si>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</si>
  <si>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</si>
  <si>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</si>
  <si>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</si>
  <si>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</si>
  <si>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</si>
  <si>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</si>
  <si>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</si>
  <si>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</si>
  <si>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</si>
  <si>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</si>
  <si>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</si>
  <si>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</si>
  <si>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</si>
  <si>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</si>
  <si>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</si>
  <si>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</si>
  <si>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</si>
  <si>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</si>
  <si>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</si>
  <si>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</si>
  <si>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</si>
  <si>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</si>
  <si>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</si>
  <si>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</si>
  <si>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</si>
  <si>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</si>
  <si>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</si>
  <si>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</si>
  <si>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</si>
  <si>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</si>
  <si>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</si>
  <si>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</si>
  <si>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</si>
  <si>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</si>
  <si>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</si>
  <si>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</si>
  <si>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</si>
  <si>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</si>
  <si>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</si>
  <si>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</si>
  <si>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</si>
  <si>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</si>
  <si>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</si>
  <si>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</si>
  <si>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</si>
  <si>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</si>
  <si>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</si>
  <si>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</si>
  <si>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</si>
  <si>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</si>
  <si>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</si>
  <si>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</si>
  <si>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</si>
  <si>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</si>
  <si>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</si>
  <si>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</si>
  <si>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</si>
  <si>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</si>
  <si>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</si>
  <si>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</si>
  <si>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</si>
  <si>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</si>
  <si>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</si>
  <si>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</si>
  <si>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</si>
  <si>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</si>
  <si>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</si>
  <si>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</si>
  <si>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</si>
  <si>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</si>
  <si>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</si>
  <si>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</si>
  <si>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</si>
  <si>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</si>
  <si>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</si>
  <si>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</si>
  <si>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</si>
  <si>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</si>
  <si>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</si>
  <si>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</si>
  <si>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</si>
  <si>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</si>
  <si>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</si>
  <si>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</si>
  <si>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</si>
  <si>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</si>
  <si>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</si>
  <si>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</si>
  <si>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</si>
  <si>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</si>
  <si>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</si>
  <si>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</si>
  <si>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</si>
  <si>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</si>
  <si>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</si>
  <si>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</si>
  <si>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</si>
  <si>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</si>
  <si>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</si>
  <si>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</si>
  <si>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</si>
  <si>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</si>
  <si>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</si>
  <si>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</si>
  <si>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</si>
  <si>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</si>
  <si>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</si>
  <si>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</si>
  <si>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</si>
  <si>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</si>
  <si>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</si>
  <si>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</si>
  <si>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</si>
  <si>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</si>
  <si>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</si>
  <si>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</si>
  <si>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</si>
  <si>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</si>
  <si>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</si>
  <si>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</si>
  <si>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</si>
  <si>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</si>
  <si>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</si>
  <si>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</si>
  <si>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</si>
  <si>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</si>
  <si>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</si>
  <si>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</si>
  <si>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</si>
  <si>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</si>
  <si>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</si>
  <si>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</si>
  <si>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</si>
  <si>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</si>
  <si>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</si>
  <si>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</si>
  <si>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</si>
  <si>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</si>
  <si>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</si>
  <si>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</si>
  <si>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</si>
  <si>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</si>
  <si>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</si>
  <si>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</si>
  <si>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</si>
  <si>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</si>
  <si>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</si>
  <si>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</si>
  <si>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</si>
  <si>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</si>
  <si>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</si>
  <si>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</si>
  <si>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</si>
  <si>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</si>
  <si>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</si>
  <si>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</si>
  <si>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</si>
  <si>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</si>
  <si>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</si>
  <si>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</si>
  <si>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</si>
  <si>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</si>
  <si>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</si>
  <si>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</si>
  <si>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</si>
  <si>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</si>
  <si>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</si>
  <si>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</si>
  <si>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</si>
  <si>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</si>
  <si>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</si>
  <si>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</si>
  <si>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</si>
  <si>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</si>
  <si>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</si>
  <si>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</si>
  <si>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</si>
  <si>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</si>
  <si>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</si>
  <si>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</si>
  <si>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</si>
  <si>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</si>
  <si>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</si>
  <si>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</si>
  <si>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</si>
  <si>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</si>
  <si>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</si>
  <si>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</si>
  <si>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</si>
  <si>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</si>
  <si>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</si>
  <si>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</si>
  <si>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</si>
  <si>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</si>
  <si>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</si>
  <si>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</si>
  <si>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</si>
  <si>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</si>
  <si>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</si>
  <si>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</si>
  <si>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</si>
  <si>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</si>
  <si>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</si>
  <si>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</si>
  <si>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</si>
  <si>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</si>
  <si>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</si>
  <si>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</si>
  <si>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</si>
  <si>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</si>
  <si>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</si>
  <si>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</si>
  <si>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</si>
  <si>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</si>
  <si>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</si>
  <si>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</si>
  <si>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</si>
  <si>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</si>
  <si>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</si>
  <si>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</si>
  <si>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</si>
  <si>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</si>
  <si>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</si>
  <si>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</si>
  <si>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</si>
  <si>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</si>
  <si>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</si>
  <si>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</si>
  <si>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</si>
  <si>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</si>
  <si>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</si>
  <si>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</si>
  <si>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</si>
  <si>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</si>
  <si>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</si>
  <si>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</si>
  <si>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</si>
  <si>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</si>
  <si>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</si>
  <si>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</si>
  <si>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</si>
  <si>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</si>
  <si>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</si>
  <si>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</si>
  <si>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</si>
  <si>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</si>
  <si>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</si>
  <si>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</si>
  <si>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</si>
  <si>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</si>
  <si>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</si>
  <si>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</si>
  <si>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</si>
  <si>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</si>
  <si>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</si>
  <si>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</si>
  <si>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</si>
  <si>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</si>
  <si>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</si>
  <si>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</si>
  <si>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</si>
  <si>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</si>
  <si>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</si>
  <si>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</si>
  <si>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</si>
  <si>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</si>
  <si>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</si>
  <si>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</si>
  <si>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</si>
  <si>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</si>
  <si>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</si>
  <si>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</si>
  <si>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</si>
  <si>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</si>
  <si>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</si>
  <si>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</si>
  <si>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</si>
  <si>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</si>
  <si>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</si>
  <si>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</si>
  <si>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</si>
  <si>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</si>
  <si>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</si>
  <si>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</si>
  <si>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</si>
  <si>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</si>
  <si>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</si>
  <si>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</si>
  <si>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</si>
  <si>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</si>
  <si>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</si>
  <si>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</si>
  <si>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</si>
  <si>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</si>
  <si>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</si>
  <si>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</si>
  <si>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</si>
  <si>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</si>
  <si>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</si>
  <si>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</si>
  <si>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</si>
  <si>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</si>
  <si>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</si>
  <si>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</si>
  <si>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</si>
  <si>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</si>
  <si>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51111111111111111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</si>
  <si>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</si>
  <si>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</si>
  <si>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</si>
  <si>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</si>
  <si>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</si>
  <si>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</si>
  <si>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</si>
  <si>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</si>
  <si>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</si>
  <si>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</si>
  <si>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</si>
  <si>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</si>
  <si>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</si>
  <si>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</si>
  <si>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</si>
  <si>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</si>
  <si>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</si>
  <si>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</si>
  <si>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</si>
  <si>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</si>
  <si>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</si>
  <si>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</si>
  <si>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</si>
  <si>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</si>
  <si>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</si>
  <si>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</si>
  <si>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</si>
  <si>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</si>
  <si>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</si>
  <si>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</si>
  <si>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</si>
  <si>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</si>
  <si>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</si>
  <si>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</si>
  <si>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</si>
  <si>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</si>
  <si>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</si>
  <si>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</si>
  <si>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</si>
  <si>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</si>
  <si>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</si>
  <si>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</si>
  <si>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</si>
  <si>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</si>
  <si>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</si>
  <si>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</si>
  <si>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</si>
  <si>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</si>
  <si>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</si>
  <si>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</si>
  <si>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</si>
  <si>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</si>
  <si>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</si>
  <si>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</si>
  <si>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</si>
  <si>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</si>
  <si>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</si>
  <si>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</si>
  <si>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</si>
  <si>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</si>
  <si>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</si>
  <si>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</si>
  <si>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</si>
  <si>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</si>
  <si>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</si>
  <si>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</si>
  <si>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</si>
  <si>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</si>
  <si>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</si>
  <si>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</si>
  <si>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</si>
  <si>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</si>
  <si>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</si>
  <si>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</si>
  <si>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</si>
  <si>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</si>
  <si>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</si>
  <si>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</si>
  <si>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</si>
  <si>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</si>
  <si>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</si>
  <si>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</si>
  <si>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</si>
  <si>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</si>
  <si>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</si>
  <si>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</si>
  <si>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</si>
  <si>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</si>
  <si>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</si>
  <si>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</si>
  <si>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</si>
  <si>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</si>
  <si>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</si>
  <si>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</si>
  <si>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</si>
  <si>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</si>
  <si>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</si>
  <si>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</si>
  <si>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</si>
  <si>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</si>
  <si>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</si>
  <si>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</si>
  <si>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</si>
  <si>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</si>
  <si>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</si>
  <si>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</si>
  <si>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</si>
  <si>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</si>
  <si>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</si>
  <si>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</si>
  <si>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</si>
  <si>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</si>
  <si>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</si>
  <si>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</si>
  <si>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</si>
  <si>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</si>
  <si>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</si>
  <si>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</si>
  <si>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</si>
  <si>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</si>
  <si>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</si>
  <si>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</si>
  <si>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</si>
  <si>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</si>
  <si>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</si>
  <si>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</si>
  <si>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</si>
  <si>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</si>
  <si>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</si>
  <si>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</si>
  <si>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</si>
  <si>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</si>
  <si>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</si>
  <si>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</si>
  <si>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</si>
  <si>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</si>
  <si>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</si>
  <si>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</si>
  <si>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</si>
  <si>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</si>
  <si>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</si>
  <si>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</si>
  <si>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</si>
  <si>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</si>
  <si>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</si>
  <si>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</si>
  <si>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</si>
  <si>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</si>
  <si>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</si>
  <si>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</si>
  <si>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</si>
  <si>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</si>
  <si>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</si>
  <si>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</si>
  <si>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</si>
  <si>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</si>
  <si>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</si>
  <si>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</si>
  <si>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</si>
  <si>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</si>
  <si>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</si>
  <si>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</si>
  <si>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</si>
  <si>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</si>
  <si>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</si>
  <si>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</si>
  <si>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</si>
  <si>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</si>
  <si>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</si>
  <si>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</si>
  <si>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</si>
  <si>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</si>
  <si>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</si>
  <si>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</si>
  <si>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</si>
  <si>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</si>
  <si>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</si>
  <si>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</si>
  <si>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</si>
  <si>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</si>
  <si>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</si>
  <si>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</si>
  <si>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</si>
  <si>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</si>
  <si>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</si>
  <si>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</si>
  <si>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</si>
  <si>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</si>
  <si>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</si>
  <si>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</si>
  <si>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</si>
  <si>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</si>
  <si>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</si>
  <si>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</si>
  <si>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</si>
  <si>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</si>
  <si>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</si>
  <si>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</si>
  <si>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</si>
  <si>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</si>
  <si>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</si>
  <si>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</si>
  <si>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</si>
  <si>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</si>
  <si>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</si>
  <si>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</si>
  <si>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</si>
  <si>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</si>
  <si>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</si>
  <si>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</si>
  <si>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</si>
  <si>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 связи с внесением изменений в Налоговый кодекс РФ, МУП ЖКХ "Родник" применяющий упрощенную систему налогообложения признается плательщиком НДС 5%</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</si>
  <si>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</si>
  <si>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</si>
  <si>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</si>
  <si>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</si>
  <si>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</si>
  <si>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</si>
  <si>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</si>
  <si>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</si>
  <si>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</si>
  <si>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</si>
  <si>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</si>
  <si>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</si>
  <si>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</si>
  <si>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</si>
  <si>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</si>
  <si>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</si>
  <si>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</si>
  <si>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</si>
  <si>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</si>
  <si>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</si>
  <si>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</si>
  <si>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</si>
  <si>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</si>
  <si>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</si>
  <si>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</si>
  <si>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</si>
  <si>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</si>
  <si>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</si>
  <si>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</si>
  <si>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</si>
  <si>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</si>
  <si>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</si>
  <si>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</si>
  <si>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</si>
  <si>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</si>
  <si>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</si>
  <si>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</si>
  <si>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</si>
  <si>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</si>
  <si>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</si>
  <si>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</si>
  <si>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</si>
  <si>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</si>
  <si>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</si>
  <si>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</si>
  <si>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</si>
  <si>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</si>
  <si>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</si>
  <si>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</si>
  <si>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</si>
  <si>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</si>
  <si>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</si>
  <si>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</si>
  <si>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</si>
  <si>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</si>
  <si>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</si>
  <si>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</si>
  <si>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</si>
  <si>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</si>
  <si>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</si>
  <si>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</si>
  <si>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</si>
  <si>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</si>
  <si>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</si>
  <si>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</si>
  <si>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</si>
  <si>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</si>
  <si>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</si>
  <si>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</si>
  <si>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</si>
  <si>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</si>
  <si>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</si>
  <si>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</si>
  <si>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</si>
  <si>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</si>
  <si>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</si>
  <si>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</si>
  <si>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</si>
  <si>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</si>
  <si>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</si>
  <si>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</si>
  <si>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</si>
  <si>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</si>
  <si>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</si>
  <si>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</si>
  <si>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</si>
  <si>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</si>
  <si>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</si>
  <si>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</si>
  <si>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</si>
  <si>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</si>
  <si>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</si>
  <si>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</si>
  <si>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</si>
  <si>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</si>
  <si>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</si>
  <si>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</si>
  <si>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</si>
  <si>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</si>
  <si>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</si>
  <si>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</si>
  <si>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</si>
  <si>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</si>
  <si>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</si>
  <si>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</si>
  <si>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</si>
  <si>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</si>
  <si>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</si>
  <si>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</si>
  <si>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</si>
  <si>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</si>
  <si>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</si>
  <si>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</si>
  <si>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</si>
  <si>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</si>
  <si>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</si>
  <si>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</si>
  <si>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</si>
  <si>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</si>
  <si>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</si>
  <si>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</si>
  <si>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</si>
  <si>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</si>
  <si>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</si>
  <si>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</si>
  <si>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</si>
  <si>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</si>
  <si>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</si>
  <si>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</si>
  <si>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</si>
  <si>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</si>
  <si>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</si>
  <si>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</si>
  <si>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</si>
  <si>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</si>
  <si>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</si>
  <si>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</si>
  <si>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</si>
  <si>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</si>
  <si>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</si>
  <si>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</si>
  <si>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</si>
  <si>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</si>
  <si>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</si>
  <si>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</si>
  <si>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</si>
  <si>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</si>
  <si>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</si>
  <si>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</si>
  <si>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</si>
  <si>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</si>
  <si>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</si>
  <si>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</si>
  <si>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</si>
  <si>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</si>
  <si>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</si>
  <si>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</si>
  <si>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</si>
  <si>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</si>
  <si>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</si>
  <si>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</si>
  <si>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</si>
  <si>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</si>
  <si>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</si>
  <si>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</si>
  <si>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</si>
  <si>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</si>
  <si>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</si>
  <si>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</si>
  <si>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</si>
  <si>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</si>
  <si>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</si>
  <si>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</si>
  <si>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</si>
  <si>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</si>
  <si>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</si>
  <si>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</si>
  <si>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</si>
  <si>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</si>
  <si>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</si>
  <si>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</si>
  <si>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</si>
  <si>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</si>
  <si>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</si>
  <si>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</si>
  <si>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</si>
  <si>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</si>
  <si>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</si>
  <si>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</si>
  <si>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</si>
  <si>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</si>
  <si>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</si>
  <si>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</si>
  <si>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</si>
  <si>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</si>
  <si>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</si>
  <si>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</si>
  <si>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</si>
  <si>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</si>
  <si>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</si>
  <si>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</si>
  <si>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</si>
  <si>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</si>
  <si>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</si>
  <si>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</si>
  <si>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</si>
  <si>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</si>
  <si>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</si>
  <si>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</si>
  <si>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</si>
  <si>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</si>
  <si>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</si>
  <si>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</si>
  <si>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</si>
  <si>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</si>
  <si>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</si>
  <si>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</si>
  <si>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</si>
  <si>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</si>
  <si>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</si>
  <si>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</si>
  <si>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</si>
  <si>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</si>
  <si>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</si>
  <si>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</si>
  <si>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</si>
  <si>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</si>
  <si>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</si>
  <si>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</si>
  <si>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</si>
  <si>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</si>
  <si>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</si>
  <si>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</si>
  <si>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</si>
  <si>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</si>
  <si>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</si>
  <si>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</si>
  <si>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</si>
  <si>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</si>
  <si>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</si>
  <si>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</si>
  <si>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</si>
  <si>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</si>
  <si>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</si>
  <si>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</si>
  <si>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</si>
  <si>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</si>
  <si>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</si>
  <si>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</si>
  <si>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</si>
  <si>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</si>
  <si>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</si>
  <si>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</si>
  <si>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</si>
  <si>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</si>
  <si>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</si>
  <si>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</si>
  <si>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</si>
  <si>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</si>
  <si>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</si>
  <si>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</si>
  <si>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</si>
  <si>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</si>
  <si>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</si>
  <si>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</si>
  <si>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</si>
  <si>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</si>
  <si>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</si>
  <si>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</si>
  <si>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</si>
  <si>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</si>
  <si>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</si>
  <si>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</si>
  <si>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</si>
  <si>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</si>
  <si>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</si>
  <si>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</si>
  <si>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</si>
  <si>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</si>
  <si>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</si>
  <si>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</si>
  <si>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</si>
  <si>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</si>
  <si>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</si>
  <si>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</si>
  <si>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</si>
  <si>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</si>
  <si>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</si>
  <si>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</si>
  <si>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</si>
  <si>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</si>
  <si>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</si>
  <si>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</si>
  <si>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</si>
  <si>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</si>
  <si>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</si>
  <si>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</si>
  <si>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</si>
  <si>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</si>
  <si>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</si>
  <si>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</si>
  <si>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</si>
  <si>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</si>
  <si>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</si>
  <si>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</si>
  <si>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</si>
  <si>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</si>
  <si>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</si>
  <si>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</si>
  <si>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</si>
  <si>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</si>
  <si>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</si>
  <si>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</si>
  <si>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</si>
  <si>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</si>
  <si>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</si>
  <si>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</si>
  <si>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</si>
  <si>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</si>
  <si>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</si>
  <si>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</si>
  <si>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</si>
  <si>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</si>
  <si>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</si>
  <si>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</si>
  <si>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</si>
  <si>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</si>
  <si>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</si>
  <si>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</si>
  <si>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</si>
  <si>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</si>
  <si>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</si>
  <si>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</si>
  <si>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</si>
  <si>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</si>
  <si>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</si>
  <si>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</si>
  <si>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</si>
  <si>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</si>
  <si>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</si>
  <si>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</si>
  <si>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</si>
  <si>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</si>
  <si>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</si>
  <si>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</si>
  <si>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</si>
  <si>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</si>
  <si>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</si>
  <si>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</si>
  <si>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</si>
  <si>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2594</t>
  </si>
  <si>
    <t>31526383</t>
  </si>
  <si>
    <t>"Теткинское МУП ЖКХ"</t>
  </si>
  <si>
    <t>4603009064</t>
  </si>
  <si>
    <t>460301001</t>
  </si>
  <si>
    <t>31457162</t>
  </si>
  <si>
    <t>АО "ГАЗСПЕЦРЕСУРС"</t>
  </si>
  <si>
    <t>4611016308</t>
  </si>
  <si>
    <t>17-11-2020 00:00:00</t>
  </si>
  <si>
    <t>30876295</t>
  </si>
  <si>
    <t>АО "ККХП"</t>
  </si>
  <si>
    <t>4630001280</t>
  </si>
  <si>
    <t>463201001</t>
  </si>
  <si>
    <t>12-01-2017 00:00:00</t>
  </si>
  <si>
    <t>26526453</t>
  </si>
  <si>
    <t>АО "Квадра" (АО "Квадра" - "Белгородская генерация")</t>
  </si>
  <si>
    <t>6829012680</t>
  </si>
  <si>
    <t>312343001</t>
  </si>
  <si>
    <t>26519767</t>
  </si>
  <si>
    <t>АО "Квадра" (филиал "Курская генерация")</t>
  </si>
  <si>
    <t>463243001</t>
  </si>
  <si>
    <t>26506537</t>
  </si>
  <si>
    <t>АО "Концерн Росэнергоатом" (филиал "Курская атомная станция")</t>
  </si>
  <si>
    <t>7721632827</t>
  </si>
  <si>
    <t>463443001</t>
  </si>
  <si>
    <t>31226876</t>
  </si>
  <si>
    <t>АО "Курская строительная компания "Новый курс"</t>
  </si>
  <si>
    <t>4629043694</t>
  </si>
  <si>
    <t>02-08-2018 00:00:00</t>
  </si>
  <si>
    <t>31412878</t>
  </si>
  <si>
    <t>АО "Михайловский ГОК  им. А.В. Варичева"</t>
  </si>
  <si>
    <t>4633001577</t>
  </si>
  <si>
    <t>997550001</t>
  </si>
  <si>
    <t>20-03-2020 00:00:00</t>
  </si>
  <si>
    <t>26838066</t>
  </si>
  <si>
    <t>АО "РЭУ"</t>
  </si>
  <si>
    <t>7714783092</t>
  </si>
  <si>
    <t>770401001</t>
  </si>
  <si>
    <t>26357430</t>
  </si>
  <si>
    <t>АО "Сахарный комбинат Льговский"</t>
  </si>
  <si>
    <t>4613005502</t>
  </si>
  <si>
    <t>461301001</t>
  </si>
  <si>
    <t>28160056</t>
  </si>
  <si>
    <t>АО "ТЭСК"</t>
  </si>
  <si>
    <t>4632121159</t>
  </si>
  <si>
    <t>31424123</t>
  </si>
  <si>
    <t>АО "ЭЛЕКТРОАГРЕГАТ"</t>
  </si>
  <si>
    <t>4631005223</t>
  </si>
  <si>
    <t>27653101</t>
  </si>
  <si>
    <t>АУ КО "Редакция газеты "Беловские Зори"</t>
  </si>
  <si>
    <t>4601003540</t>
  </si>
  <si>
    <t>460101001</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</si>
  <si>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</si>
  <si>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</si>
  <si>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</si>
  <si>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</si>
  <si>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26520355</t>
  </si>
  <si>
    <t>Брянский территориальный участок Московской дирекции по тепловодоснабжению – структурного подразделения Центральной дирекции по тепловодоснабжению – филиала ОАО «РЖД»</t>
  </si>
  <si>
    <t>463201002</t>
  </si>
  <si>
    <t>26373212</t>
  </si>
  <si>
    <t>ГУПКО "Курскоблжилкомхоз"</t>
  </si>
  <si>
    <t>4632024035</t>
  </si>
  <si>
    <t>31651696</t>
  </si>
  <si>
    <t>ИП Рустем Мансур Исмаилович</t>
  </si>
  <si>
    <t>461109152080</t>
  </si>
  <si>
    <t>КОМИТЕТ ПО ТАРИФАМ И ЦЕНАМ КУРСКОЙ ОБЛАСТИ</t>
  </si>
  <si>
    <t>4632053780</t>
  </si>
  <si>
    <t>30941921</t>
  </si>
  <si>
    <t>Курский завод "Маяк" - филиал АО "Нижегородское научно-производственное объединение имени М.В.Фрунзе"</t>
  </si>
  <si>
    <t>5261077695</t>
  </si>
  <si>
    <t>12-07-2017 00:00:00</t>
  </si>
  <si>
    <t>30843089</t>
  </si>
  <si>
    <t>МКУ "Управление обеспечения деятельности органов местного самоуправления"</t>
  </si>
  <si>
    <t>4622005001</t>
  </si>
  <si>
    <t>462201001</t>
  </si>
  <si>
    <t>01-10-2016 00:00:00</t>
  </si>
  <si>
    <t>31699224</t>
  </si>
  <si>
    <t>МКУ «ОДА поселка Кшенский»</t>
  </si>
  <si>
    <t>4621009155</t>
  </si>
  <si>
    <t>462101001</t>
  </si>
  <si>
    <t>01-02-2023 00:00:00</t>
  </si>
  <si>
    <t>31334806</t>
  </si>
  <si>
    <t>МУП "Глушковское ЖКХ"</t>
  </si>
  <si>
    <t>4603004186</t>
  </si>
  <si>
    <t>31-07-2019 00:00:00</t>
  </si>
  <si>
    <t>26357464</t>
  </si>
  <si>
    <t>МУП "Городские тепловые сети" МО  "город Курчатов"</t>
  </si>
  <si>
    <t>4634002573</t>
  </si>
  <si>
    <t>463401001</t>
  </si>
  <si>
    <t>26357452</t>
  </si>
  <si>
    <t>МУП "Гортеплосеть"</t>
  </si>
  <si>
    <t>4632000330</t>
  </si>
  <si>
    <t>26357458</t>
  </si>
  <si>
    <t>МУП "Гортеплосеть" города Железногорска</t>
  </si>
  <si>
    <t>4633002394</t>
  </si>
  <si>
    <t>463301001</t>
  </si>
  <si>
    <t>26373218</t>
  </si>
  <si>
    <t>МУП "Иванинское ЖКХ"</t>
  </si>
  <si>
    <t>4634008455</t>
  </si>
  <si>
    <t>28829517</t>
  </si>
  <si>
    <t>МУП "Кшенское" поселка Кшенский</t>
  </si>
  <si>
    <t>4621009099</t>
  </si>
  <si>
    <t>28967472</t>
  </si>
  <si>
    <t>МУП "Районное коммунальное хозяйство"</t>
  </si>
  <si>
    <t>4633037132</t>
  </si>
  <si>
    <t>31625749</t>
  </si>
  <si>
    <t>МУП "Теплосервис"</t>
  </si>
  <si>
    <t>4626006422</t>
  </si>
  <si>
    <t>462601001</t>
  </si>
  <si>
    <t>01-08-2022 00:00:00</t>
  </si>
  <si>
    <t>31461777</t>
  </si>
  <si>
    <t>МУП "Теплосеть"</t>
  </si>
  <si>
    <t>4610006900</t>
  </si>
  <si>
    <t>461001001</t>
  </si>
  <si>
    <t>15-05-2008 00:00:00</t>
  </si>
  <si>
    <t>31521250</t>
  </si>
  <si>
    <t>МУП "Хомутовское ЖКХ"</t>
  </si>
  <si>
    <t>4626006380</t>
  </si>
  <si>
    <t>19-10-2021 00:00:00</t>
  </si>
  <si>
    <t>26357443</t>
  </si>
  <si>
    <t>МУП КЭТС г.Суджа</t>
  </si>
  <si>
    <t>4623002116</t>
  </si>
  <si>
    <t>462301001</t>
  </si>
  <si>
    <t>26357449</t>
  </si>
  <si>
    <t>ОАО "Геомаш" города Щигры</t>
  </si>
  <si>
    <t>4628000962</t>
  </si>
  <si>
    <t>462801001</t>
  </si>
  <si>
    <t>26319324</t>
  </si>
  <si>
    <t>ОАО "Курскрезинотехника"</t>
  </si>
  <si>
    <t>4632001454</t>
  </si>
  <si>
    <t>463250001</t>
  </si>
  <si>
    <t>26597746</t>
  </si>
  <si>
    <t>ОАО "Технотекс"</t>
  </si>
  <si>
    <t>4631000955</t>
  </si>
  <si>
    <t>28153332</t>
  </si>
  <si>
    <t>ОАО "Электроагрегат"</t>
  </si>
  <si>
    <t>28008001</t>
  </si>
  <si>
    <t>ООО  "Афродита"</t>
  </si>
  <si>
    <t>4633023436</t>
  </si>
  <si>
    <t>30958906</t>
  </si>
  <si>
    <t>ООО "АГРУПП"</t>
  </si>
  <si>
    <t>4603001234</t>
  </si>
  <si>
    <t>31206294</t>
  </si>
  <si>
    <t>ООО "Агропроект"</t>
  </si>
  <si>
    <t>3666120176</t>
  </si>
  <si>
    <t>366601001</t>
  </si>
  <si>
    <t>10-10-2018 00:00:00</t>
  </si>
  <si>
    <t>31157877</t>
  </si>
  <si>
    <t>ООО "ВодоСервис"</t>
  </si>
  <si>
    <t>4633039637</t>
  </si>
  <si>
    <t>463330100</t>
  </si>
  <si>
    <t>26357459</t>
  </si>
  <si>
    <t>ООО "ГОТЭК-ЦПУ"</t>
  </si>
  <si>
    <t>4633016372</t>
  </si>
  <si>
    <t>26599373</t>
  </si>
  <si>
    <t>ООО "ЖКХ с. Мантурово"</t>
  </si>
  <si>
    <t>4614004050</t>
  </si>
  <si>
    <t>461401001</t>
  </si>
  <si>
    <t>28080260</t>
  </si>
  <si>
    <t>ООО "Железногорская МСО"</t>
  </si>
  <si>
    <t>4633011913</t>
  </si>
  <si>
    <t>30918958</t>
  </si>
  <si>
    <t>ООО "Жилсервис ЗЖБИ-3"</t>
  </si>
  <si>
    <t>4633039010</t>
  </si>
  <si>
    <t>05-04-2017 00:00:00</t>
  </si>
  <si>
    <t>26357446</t>
  </si>
  <si>
    <t>ООО "КТС с. Калиновка"</t>
  </si>
  <si>
    <t>4626003929</t>
  </si>
  <si>
    <t>27159575</t>
  </si>
  <si>
    <t>ООО "Коммунальная служба + " С. Михайловка</t>
  </si>
  <si>
    <t>4633033219</t>
  </si>
  <si>
    <t>26357432</t>
  </si>
  <si>
    <t>ООО "Коммунальщик" п. Прямицино</t>
  </si>
  <si>
    <t>4617004147</t>
  </si>
  <si>
    <t>461701001</t>
  </si>
  <si>
    <t>27549510</t>
  </si>
  <si>
    <t>ООО "Комфорт" г. Железногорск</t>
  </si>
  <si>
    <t>4633022993</t>
  </si>
  <si>
    <t>31477115</t>
  </si>
  <si>
    <t>ООО "Круиз - М"</t>
  </si>
  <si>
    <t>5034043900</t>
  </si>
  <si>
    <t>503401001</t>
  </si>
  <si>
    <t>17-04-2012 00:00:00</t>
  </si>
  <si>
    <t>26357454</t>
  </si>
  <si>
    <t>ООО "Курские Внешние Коммунальные сети"</t>
  </si>
  <si>
    <t>4632033706</t>
  </si>
  <si>
    <t>30852158</t>
  </si>
  <si>
    <t>ООО "Курскоблтеплосеть"</t>
  </si>
  <si>
    <t>4632185184</t>
  </si>
  <si>
    <t>26519453</t>
  </si>
  <si>
    <t>ООО "Обоянские Коммунальные Тепловые Сети"</t>
  </si>
  <si>
    <t>4616008283</t>
  </si>
  <si>
    <t>461601001</t>
  </si>
  <si>
    <t>31209848</t>
  </si>
  <si>
    <t>ООО "ПРОМ-ЭНЕРГО-СЕРВИС"</t>
  </si>
  <si>
    <t>4620014875</t>
  </si>
  <si>
    <t>462001001</t>
  </si>
  <si>
    <t>23-10-2018 00:00:00</t>
  </si>
  <si>
    <t>31326254</t>
  </si>
  <si>
    <t>ООО "СБМ"</t>
  </si>
  <si>
    <t>4632113278</t>
  </si>
  <si>
    <t>26-10-2009 00:00:00</t>
  </si>
  <si>
    <t>28262863</t>
  </si>
  <si>
    <t>ООО "Санаторий "Моква"</t>
  </si>
  <si>
    <t>4611004126</t>
  </si>
  <si>
    <t>31713408</t>
  </si>
  <si>
    <t>ООО "Санаторий имени И.Д.Черняховского"</t>
  </si>
  <si>
    <t>4611003813</t>
  </si>
  <si>
    <t>18-10-2007 00:00:00</t>
  </si>
  <si>
    <t>26357417</t>
  </si>
  <si>
    <t>ООО "Свободинский электромеханический завод"</t>
  </si>
  <si>
    <t>4607000231</t>
  </si>
  <si>
    <t>460701001</t>
  </si>
  <si>
    <t>30949176</t>
  </si>
  <si>
    <t>ООО "Сети МС"</t>
  </si>
  <si>
    <t>4607006392</t>
  </si>
  <si>
    <t>05-12-2016 00:00:00</t>
  </si>
  <si>
    <t>26373203</t>
  </si>
  <si>
    <t>ООО "Солнцевское ЖКХ"</t>
  </si>
  <si>
    <t>4622004495</t>
  </si>
  <si>
    <t>26357456</t>
  </si>
  <si>
    <t>ООО "Теплогенерирующая компания"</t>
  </si>
  <si>
    <t>4632068226</t>
  </si>
  <si>
    <t>26806402</t>
  </si>
  <si>
    <t>ООО "Теткинское МУП ЖКХ"</t>
  </si>
  <si>
    <t>4603005599</t>
  </si>
  <si>
    <t>26373188</t>
  </si>
  <si>
    <t>ООО "УниверсалСтройСервис"</t>
  </si>
  <si>
    <t>4619004209</t>
  </si>
  <si>
    <t>461901001</t>
  </si>
  <si>
    <t>26357444</t>
  </si>
  <si>
    <t>ООО "Фатежские КЭТС"</t>
  </si>
  <si>
    <t>4625004944</t>
  </si>
  <si>
    <t>462501001</t>
  </si>
  <si>
    <t>28037290</t>
  </si>
  <si>
    <t>ООО "ЭКАС-строймонтаж"</t>
  </si>
  <si>
    <t>4632064101</t>
  </si>
  <si>
    <t>26319322</t>
  </si>
  <si>
    <t>ООО "Энерго-Сервис"</t>
  </si>
  <si>
    <t>4632032678</t>
  </si>
  <si>
    <t>30833091</t>
  </si>
  <si>
    <t>ООО "Энергосервисная компания ЖБК-1"</t>
  </si>
  <si>
    <t>3123389689</t>
  </si>
  <si>
    <t>312301001</t>
  </si>
  <si>
    <t>26520836</t>
  </si>
  <si>
    <t>ООО «НИАГАРА+»</t>
  </si>
  <si>
    <t>4607005286</t>
  </si>
  <si>
    <t>26520846</t>
  </si>
  <si>
    <t>ООО «Стройсантехналадка»</t>
  </si>
  <si>
    <t>4632064013</t>
  </si>
  <si>
    <t>27549574</t>
  </si>
  <si>
    <t>ООО Управляющая компания "Айсберг +"</t>
  </si>
  <si>
    <t>4608005722</t>
  </si>
  <si>
    <t>460801001</t>
  </si>
  <si>
    <t>26357433</t>
  </si>
  <si>
    <t>ООО"Теплосети п.Поныри"</t>
  </si>
  <si>
    <t>4618003724</t>
  </si>
  <si>
    <t>461801001</t>
  </si>
  <si>
    <t>30366049</t>
  </si>
  <si>
    <t>ОП "Воронежское" АО "ГУ ЖКХ"</t>
  </si>
  <si>
    <t>5116000922</t>
  </si>
  <si>
    <t>366445001</t>
  </si>
  <si>
    <t>21-10-2015 00:00:00</t>
  </si>
  <si>
    <t>28084551</t>
  </si>
  <si>
    <t>ПАО "Квадра" (филиал "Южная генерация")</t>
  </si>
  <si>
    <t>463201000</t>
  </si>
  <si>
    <t>26357457</t>
  </si>
  <si>
    <t>ПАО "Михайловский ГОК"</t>
  </si>
  <si>
    <t>26519455</t>
  </si>
  <si>
    <t>Рыльский авиационный технический колледж - филиал ФГОУВПО "Московский государственный технический университет гражданской авиации "</t>
  </si>
  <si>
    <t>7712029250</t>
  </si>
  <si>
    <t>26373189</t>
  </si>
  <si>
    <t>ФГБУ "Санаторий Марьино"</t>
  </si>
  <si>
    <t>4620001192</t>
  </si>
  <si>
    <t>31044258</t>
  </si>
  <si>
    <t>Филиал ОАО "РЖД" Юго-Восточная железная дорога, Юго-Восточная дирекция по эксплуатации зданий и сооружений ЕЛЕЦКАЯ ДИСТАЦИЯ ГРАЖДАНСКИХ СООРУЖЕНИЙ</t>
  </si>
  <si>
    <t>481245040</t>
  </si>
  <si>
    <t>27135237</t>
  </si>
  <si>
    <t>Филиал ОАО "РЭУ" "Курский"</t>
  </si>
  <si>
    <t>30941480</t>
  </si>
  <si>
    <t>Филиал ФГБУ "ЦЖКУ" Минобороны России по ЗВО</t>
  </si>
  <si>
    <t>7729314745</t>
  </si>
  <si>
    <t>784243001</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</si>
  <si>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</si>
  <si>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</si>
  <si>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</si>
  <si>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</si>
  <si>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31386954</t>
  </si>
  <si>
    <t>АДМИНИСТРАЦИЯ БЕРЕЗНИКОВСКОГО СЕЛЬСОВЕТА РЫЛЬСКОГО РАЙОНА</t>
  </si>
  <si>
    <t>4620001121</t>
  </si>
  <si>
    <t>31388059</t>
  </si>
  <si>
    <t>АДМИНИСТРАЦИЯ ПОСЕЛКА ПРИСТЕНЬ ПРИСТЕНСКОГО РАЙОНА КУРСКОЙ ОБЛАСТИ</t>
  </si>
  <si>
    <t>4619000860</t>
  </si>
  <si>
    <t>31280789</t>
  </si>
  <si>
    <t>АНО " Водоснабжение с. 1- Засеймье"</t>
  </si>
  <si>
    <t>4614003681</t>
  </si>
  <si>
    <t>01-01-2019 00:00:00</t>
  </si>
  <si>
    <t>26546500</t>
  </si>
  <si>
    <t>АНО "Водоснабжение Бычковского сельсовета"</t>
  </si>
  <si>
    <t>4608005874</t>
  </si>
  <si>
    <t>26373185</t>
  </si>
  <si>
    <t>АНО "Водоснабжение Зоринского сельсовета"</t>
  </si>
  <si>
    <t>4616007201</t>
  </si>
  <si>
    <t>461601005</t>
  </si>
  <si>
    <t>27159726</t>
  </si>
  <si>
    <t>АНО "Водоснабжение Уланковского сельсовета"</t>
  </si>
  <si>
    <t>4623007153</t>
  </si>
  <si>
    <t>30838874</t>
  </si>
  <si>
    <t>АНО "Водоснабжение с. 2-е Выгорное"</t>
  </si>
  <si>
    <t>4624902335</t>
  </si>
  <si>
    <t>462401001</t>
  </si>
  <si>
    <t>27784441</t>
  </si>
  <si>
    <t>АНО "Водоснабжение с. Марица"</t>
  </si>
  <si>
    <t>4613996035</t>
  </si>
  <si>
    <t>04-05-2012 00:00:00</t>
  </si>
  <si>
    <t>31603544</t>
  </si>
  <si>
    <t>АНО по обеспечению водой "АКВА"</t>
  </si>
  <si>
    <t>4632284347</t>
  </si>
  <si>
    <t>27-08-2021 00:00:00</t>
  </si>
  <si>
    <t>28068074</t>
  </si>
  <si>
    <t>АО "Курскоблводоканал"</t>
  </si>
  <si>
    <t>4632165780</t>
  </si>
  <si>
    <t>26598017</t>
  </si>
  <si>
    <t>АО "Суджанский маслодельный комбинат"</t>
  </si>
  <si>
    <t>4623000045</t>
  </si>
  <si>
    <t>31520452</t>
  </si>
  <si>
    <t>Администрация  Андросовского сельсовета</t>
  </si>
  <si>
    <t>4606001000</t>
  </si>
  <si>
    <t>31416151</t>
  </si>
  <si>
    <t>Администрация 1-го Поныровского сельсовета Поныровского района</t>
  </si>
  <si>
    <t>4618001043</t>
  </si>
  <si>
    <t>31088695</t>
  </si>
  <si>
    <t>Администрация Дмитриевского сельсовета Золотухинского района Курской области</t>
  </si>
  <si>
    <t>4607000418</t>
  </si>
  <si>
    <t>31088641</t>
  </si>
  <si>
    <t>Администрация Званновского сельсовета Глушковского района Курской области</t>
  </si>
  <si>
    <t>4603000488</t>
  </si>
  <si>
    <t>31088657</t>
  </si>
  <si>
    <t>Администрация Карыжского сельсовета Глушковского района Курской области</t>
  </si>
  <si>
    <t>4603000696</t>
  </si>
  <si>
    <t>31088670</t>
  </si>
  <si>
    <t>Администрация Коровяковского сельсовета Глушковского района Курской области</t>
  </si>
  <si>
    <t>4603000632</t>
  </si>
  <si>
    <t>31258569</t>
  </si>
  <si>
    <t>Администрация Мантуровского района Курской области</t>
  </si>
  <si>
    <t>4614003378</t>
  </si>
  <si>
    <t>31088676</t>
  </si>
  <si>
    <t>Администрация Марковского сельсовета Глушковского района Курской области</t>
  </si>
  <si>
    <t>4603000505</t>
  </si>
  <si>
    <t>31256167</t>
  </si>
  <si>
    <t>Администрация Махновского сельсовета Суджанского района Курской области</t>
  </si>
  <si>
    <t>4623001514</t>
  </si>
  <si>
    <t>31088683</t>
  </si>
  <si>
    <t>Администрация Нижнемордокского сельсовета Глушковского района Курской области</t>
  </si>
  <si>
    <t>4603000590</t>
  </si>
  <si>
    <t>31088715</t>
  </si>
  <si>
    <t>Администрация Первоавгустовского сельсовета Дмитриевского района Курской области</t>
  </si>
  <si>
    <t>4605001889</t>
  </si>
  <si>
    <t>460501001</t>
  </si>
  <si>
    <t>31088707</t>
  </si>
  <si>
    <t>Администрация Пригородненского сельсовета Щигровского района Куркой области</t>
  </si>
  <si>
    <t>4628001003</t>
  </si>
  <si>
    <t>31257845</t>
  </si>
  <si>
    <t>Администрация Суджанского района</t>
  </si>
  <si>
    <t>4623002853</t>
  </si>
  <si>
    <t>01-12-2018 00:00:00</t>
  </si>
  <si>
    <t>31088689</t>
  </si>
  <si>
    <t>Администрация Сухиновского сельсовета Глушковского района Курской области</t>
  </si>
  <si>
    <t>4603000569</t>
  </si>
  <si>
    <t>30910110</t>
  </si>
  <si>
    <t>Администрация п. Кировский Пристенского района Курской области</t>
  </si>
  <si>
    <t>4619000525</t>
  </si>
  <si>
    <t>31659460</t>
  </si>
  <si>
    <t>Администрация п. Новокасторное Касторенского района Курской области</t>
  </si>
  <si>
    <t>4608000548</t>
  </si>
  <si>
    <t>02-09-2002 00:00:00</t>
  </si>
  <si>
    <t>31281144</t>
  </si>
  <si>
    <t>МАУ "Марьинское ЖКХ"</t>
  </si>
  <si>
    <t>4620014226</t>
  </si>
  <si>
    <t>26373194</t>
  </si>
  <si>
    <t>МАУ"Служба заказчика по ЖКУ Октябрьского сельсовета"</t>
  </si>
  <si>
    <t>4620006730</t>
  </si>
  <si>
    <t>28254492</t>
  </si>
  <si>
    <t>МБУ "ОХО" поселка Медвенка</t>
  </si>
  <si>
    <t>4615007054</t>
  </si>
  <si>
    <t>461501001</t>
  </si>
  <si>
    <t>31737786</t>
  </si>
  <si>
    <t>МКУ "По обеспечению деятельности Администрации Тимского района Курской области"</t>
  </si>
  <si>
    <t>4624007967</t>
  </si>
  <si>
    <t>31738249</t>
  </si>
  <si>
    <t>МКУ "Управление ОДОМС " Поселка Солнцево</t>
  </si>
  <si>
    <t>4622001409</t>
  </si>
  <si>
    <t>14-06-2013 00:00:00</t>
  </si>
  <si>
    <t>27784674</t>
  </si>
  <si>
    <t>МП "Водоканал"</t>
  </si>
  <si>
    <t>4605006372</t>
  </si>
  <si>
    <t>05-05-2012 00:00:00</t>
  </si>
  <si>
    <t>28068342</t>
  </si>
  <si>
    <t>МУ "Служба заказчика по ЖКУ Городенского сельсовета"</t>
  </si>
  <si>
    <t>4613011175</t>
  </si>
  <si>
    <t>26373198</t>
  </si>
  <si>
    <t>МУ "Служба заказчика по ЖКУ Крупецкого сельсовета"</t>
  </si>
  <si>
    <t>4620006842</t>
  </si>
  <si>
    <t>31411333</t>
  </si>
  <si>
    <t>МУНИЦИПАЛЬНОЕ КАЗЕННОЕ ПРЕДПРИЯТИЕ "РЫЛЬСКИЕ КОММУНАЛЬНЫЕ СЕТИ" МУНИЦИПАЛЬНОГО ОБРАЗОВАНИЯ "ГОРОД РЫЛЬСК" РЫЛЬСКОГО РАЙОНА КУРСКОЙ ОБЛАСТИ</t>
  </si>
  <si>
    <t>4620014931</t>
  </si>
  <si>
    <t>26373204</t>
  </si>
  <si>
    <t>МУП  "Водопроводного и жилищного-коммунального хозяйства" село Замостье при М.О."Замостянский сельсовет"</t>
  </si>
  <si>
    <t>4623005710</t>
  </si>
  <si>
    <t>26373209</t>
  </si>
  <si>
    <t>МУП "Водоканал-сервис"</t>
  </si>
  <si>
    <t>4627002389</t>
  </si>
  <si>
    <t>462701001</t>
  </si>
  <si>
    <t>26380385</t>
  </si>
  <si>
    <t>МУП "Горводоканал"</t>
  </si>
  <si>
    <t>4633002429</t>
  </si>
  <si>
    <t>26373220</t>
  </si>
  <si>
    <t>МУП "Дружненское ЖКХ"</t>
  </si>
  <si>
    <t>4634009201</t>
  </si>
  <si>
    <t>31538877</t>
  </si>
  <si>
    <t>МУП "ЖКХ Глушковского района"</t>
  </si>
  <si>
    <t>4603009057</t>
  </si>
  <si>
    <t>31256178</t>
  </si>
  <si>
    <t>МУП "ЖКХ п. Олымский"</t>
  </si>
  <si>
    <t>4608006564</t>
  </si>
  <si>
    <t>05-08-2018 00:00:00</t>
  </si>
  <si>
    <t>28068061</t>
  </si>
  <si>
    <t>МУП "Жилкомсерис п. Поныри"</t>
  </si>
  <si>
    <t>4618003594</t>
  </si>
  <si>
    <t>10-02-2006 00:00:00</t>
  </si>
  <si>
    <t>28940776</t>
  </si>
  <si>
    <t>МУП "Калиновское ЖКХ" Администрации Хомутовского района Курской области</t>
  </si>
  <si>
    <t>4626003774</t>
  </si>
  <si>
    <t>31590534</t>
  </si>
  <si>
    <t>МУП "Коммунальные сети"  Рыльского района</t>
  </si>
  <si>
    <t>4620015050</t>
  </si>
  <si>
    <t>25-02-2022 00:00:00</t>
  </si>
  <si>
    <t>31423981</t>
  </si>
  <si>
    <t>МУП "Комфорт" Курчатовского района</t>
  </si>
  <si>
    <t>4634013399</t>
  </si>
  <si>
    <t>20-01-2020 00:00:00</t>
  </si>
  <si>
    <t>26373211</t>
  </si>
  <si>
    <t>МУП "Курскводоканал"</t>
  </si>
  <si>
    <t>4629026667</t>
  </si>
  <si>
    <t>27980658</t>
  </si>
  <si>
    <t>МУП "Курчатовское районное ЖКХ"</t>
  </si>
  <si>
    <t>4634011426</t>
  </si>
  <si>
    <t>31253987</t>
  </si>
  <si>
    <t>МУП "Льговское районное ЖКХ"</t>
  </si>
  <si>
    <t>4613006425</t>
  </si>
  <si>
    <t>30838799</t>
  </si>
  <si>
    <t>МУП "РВК"</t>
  </si>
  <si>
    <t>4633038351</t>
  </si>
  <si>
    <t>31446012</t>
  </si>
  <si>
    <t>МУП "СКХ"</t>
  </si>
  <si>
    <t>4623007940</t>
  </si>
  <si>
    <t>26373154</t>
  </si>
  <si>
    <t>МУП ВЖКХ села Коренево</t>
  </si>
  <si>
    <t>4610003049</t>
  </si>
  <si>
    <t>05-04-2004 00:00:00</t>
  </si>
  <si>
    <t>31280385</t>
  </si>
  <si>
    <t>МУП ВКХ администрации Шептуховского сельсовета</t>
  </si>
  <si>
    <t>4610003433</t>
  </si>
  <si>
    <t>06-02-2006 00:00:00</t>
  </si>
  <si>
    <t>26380377</t>
  </si>
  <si>
    <t>МУП ВКХ г. Суджи</t>
  </si>
  <si>
    <t>4623001105</t>
  </si>
  <si>
    <t>30372352</t>
  </si>
  <si>
    <t>МУП ЖКХ "Беловского района"</t>
  </si>
  <si>
    <t>4601005402</t>
  </si>
  <si>
    <t>31023130</t>
  </si>
  <si>
    <t>МУП КХ "Фатеж"</t>
  </si>
  <si>
    <t>4625006412</t>
  </si>
  <si>
    <t>26520825</t>
  </si>
  <si>
    <t>ОАО «Кривец-сахар»</t>
  </si>
  <si>
    <t>4614002688</t>
  </si>
  <si>
    <t>28267645</t>
  </si>
  <si>
    <t>ОКОУ "Школа-интернат № 3" г. Курска"</t>
  </si>
  <si>
    <t>4629043359</t>
  </si>
  <si>
    <t>31297415</t>
  </si>
  <si>
    <t>ООО "АкваБор Лимитед"</t>
  </si>
  <si>
    <t>4632041753</t>
  </si>
  <si>
    <t>31459983</t>
  </si>
  <si>
    <t>ООО "ВКЦ"</t>
  </si>
  <si>
    <t>4623007869</t>
  </si>
  <si>
    <t>27783825</t>
  </si>
  <si>
    <t>ООО "Водник"</t>
  </si>
  <si>
    <t>4610003779</t>
  </si>
  <si>
    <t>11-05-2012 00:00:00</t>
  </si>
  <si>
    <t>31508996</t>
  </si>
  <si>
    <t>26654110</t>
  </si>
  <si>
    <t>ООО "Водозабор"</t>
  </si>
  <si>
    <t>4616008325</t>
  </si>
  <si>
    <t>26598074</t>
  </si>
  <si>
    <t>ООО "Водоканал"</t>
  </si>
  <si>
    <t>4613011390</t>
  </si>
  <si>
    <t>26598654</t>
  </si>
  <si>
    <t>ООО "Водоканал" п. им. К. Либнехта</t>
  </si>
  <si>
    <t>4634009762</t>
  </si>
  <si>
    <t>30910426</t>
  </si>
  <si>
    <t>ООО "ЖКХ Черемисиновского района"</t>
  </si>
  <si>
    <t>4627003248</t>
  </si>
  <si>
    <t>26380369</t>
  </si>
  <si>
    <t>ООО "ЖКХ поселка Прямицыно"</t>
  </si>
  <si>
    <t>4617005180</t>
  </si>
  <si>
    <t>26599351</t>
  </si>
  <si>
    <t>ООО "ЖКХ с. Сейм"</t>
  </si>
  <si>
    <t>4614004043</t>
  </si>
  <si>
    <t>26600215</t>
  </si>
  <si>
    <t>ООО "Жилищно-коммунальный сервис п. Возы"</t>
  </si>
  <si>
    <t>4618003996</t>
  </si>
  <si>
    <t>27712094</t>
  </si>
  <si>
    <t>ООО "Инжстройсервис"</t>
  </si>
  <si>
    <t>4611011684</t>
  </si>
  <si>
    <t>29-09-2011 00:00:00</t>
  </si>
  <si>
    <t>26594910</t>
  </si>
  <si>
    <t>ООО "КОММУНАЛЬНЫЙ"</t>
  </si>
  <si>
    <t>4607005261</t>
  </si>
  <si>
    <t>28446024</t>
  </si>
  <si>
    <t>ООО "Коммунальщик Плюс"</t>
  </si>
  <si>
    <t>4604005961</t>
  </si>
  <si>
    <t>460401001</t>
  </si>
  <si>
    <t>30990088</t>
  </si>
  <si>
    <t>ООО "Олымский сахарный завод"</t>
  </si>
  <si>
    <t>4608005793</t>
  </si>
  <si>
    <t>31550790</t>
  </si>
  <si>
    <t>ООО "Промышленная лизинговая компания"</t>
  </si>
  <si>
    <t>4632218746</t>
  </si>
  <si>
    <t>31349578</t>
  </si>
  <si>
    <t>ООО "Сатурн"</t>
  </si>
  <si>
    <t>4620014890</t>
  </si>
  <si>
    <t>31480159</t>
  </si>
  <si>
    <t>ООО "Тимводсервис"</t>
  </si>
  <si>
    <t>4624001764</t>
  </si>
  <si>
    <t>26590820</t>
  </si>
  <si>
    <t>ООО "УК ЖКХ пос. Солнечный"</t>
  </si>
  <si>
    <t>4607005310</t>
  </si>
  <si>
    <t>14-08-2008 00:00:00</t>
  </si>
  <si>
    <t>28500131</t>
  </si>
  <si>
    <t>ООО "УК Конышевская"</t>
  </si>
  <si>
    <t>4609004457</t>
  </si>
  <si>
    <t>460901001</t>
  </si>
  <si>
    <t>27990413</t>
  </si>
  <si>
    <t>ООО "Фатежское КЭХ"</t>
  </si>
  <si>
    <t>4625005948</t>
  </si>
  <si>
    <t>26806528</t>
  </si>
  <si>
    <t>ООО "Хомутовское ЖКХ"</t>
  </si>
  <si>
    <t>4626003975</t>
  </si>
  <si>
    <t>26546484</t>
  </si>
  <si>
    <t>ООО Управляющая компания "Заказчик Касторное"</t>
  </si>
  <si>
    <t>4608005627</t>
  </si>
  <si>
    <t>28067786</t>
  </si>
  <si>
    <t>ПАО "Ростелеком" в лице Курского филиала</t>
  </si>
  <si>
    <t>7707049388</t>
  </si>
  <si>
    <t>31211497</t>
  </si>
  <si>
    <t>ТСЖ "Водоснабжение Красная долина"</t>
  </si>
  <si>
    <t>4608002665</t>
  </si>
  <si>
    <t>22-12-2016 00:00:00</t>
  </si>
  <si>
    <t>31276204</t>
  </si>
  <si>
    <t>ТСЖ "Водоснабжение Орехово"</t>
  </si>
  <si>
    <t>4608006525</t>
  </si>
  <si>
    <t>31088621</t>
  </si>
  <si>
    <t>ТСН "Водоснабжение Медвенского района"</t>
  </si>
  <si>
    <t>4615007488</t>
  </si>
  <si>
    <t>17-01-2018 00:00:00</t>
  </si>
  <si>
    <t>31246183</t>
  </si>
  <si>
    <t>ТСН "Водоснабжение Нижнереутчанского сельсовета"</t>
  </si>
  <si>
    <t>4615007495</t>
  </si>
  <si>
    <t>30990108</t>
  </si>
  <si>
    <t>ТСН "Водоснабжение Солнцевского района"</t>
  </si>
  <si>
    <t>4622008147</t>
  </si>
  <si>
    <t>30861196</t>
  </si>
  <si>
    <t>Филиал "Золотухинский" ООО "КСП"</t>
  </si>
  <si>
    <t>3611009179</t>
  </si>
  <si>
    <t>31408462</t>
  </si>
  <si>
    <t>АДМИНИСТРАЦИЯ СЕЛЕКЦИОННОГО СЕЛЬСОВЕТА ЛЬГОВСКОГО РАЙОНА</t>
  </si>
  <si>
    <t>4613001184</t>
  </si>
  <si>
    <t>26599727</t>
  </si>
  <si>
    <t>АНО "Водоснабжение Советского сельсовета"</t>
  </si>
  <si>
    <t>4621004333</t>
  </si>
  <si>
    <t>31256635</t>
  </si>
  <si>
    <t>Администрация Железногорского района Курской области</t>
  </si>
  <si>
    <t>4633017538</t>
  </si>
  <si>
    <t>28146382</t>
  </si>
  <si>
    <t>ЗАО "ЕПТК"</t>
  </si>
  <si>
    <t>7721012037</t>
  </si>
  <si>
    <t>770501001</t>
  </si>
  <si>
    <t>26600146</t>
  </si>
  <si>
    <t>ИП Солгалов Ю.В.</t>
  </si>
  <si>
    <t>461900035649</t>
  </si>
  <si>
    <t>26406192</t>
  </si>
  <si>
    <t>ООО "Курскхимволокно"</t>
  </si>
  <si>
    <t>7733542991</t>
  </si>
  <si>
    <t>26629630</t>
  </si>
  <si>
    <t>ООО "Промконсервы"</t>
  </si>
  <si>
    <t>7728276053</t>
  </si>
  <si>
    <t>460845004</t>
  </si>
  <si>
    <t>26598650</t>
  </si>
  <si>
    <t>ФКУ ИК-2 УФСИН России по Курской области</t>
  </si>
  <si>
    <t>4629037370</t>
  </si>
  <si>
    <t>462011001</t>
  </si>
  <si>
    <t>26503166</t>
  </si>
  <si>
    <t>ФКУ ИК-3 УФСИН России по Курской области</t>
  </si>
  <si>
    <t>4613004636</t>
  </si>
  <si>
    <t>26539451</t>
  </si>
  <si>
    <t>АО "САБ по уборке г. Курска"</t>
  </si>
  <si>
    <t>4632219475</t>
  </si>
  <si>
    <t>30908291</t>
  </si>
  <si>
    <t>ИП Дюдин А.И.</t>
  </si>
  <si>
    <t>462901255102</t>
  </si>
  <si>
    <t>30908122</t>
  </si>
  <si>
    <t>ИП Карпушин А.И.</t>
  </si>
  <si>
    <t>461500293589</t>
  </si>
  <si>
    <t>30908164</t>
  </si>
  <si>
    <t>МУП "Любимый город"</t>
  </si>
  <si>
    <t>4628003240</t>
  </si>
  <si>
    <t>30908286</t>
  </si>
  <si>
    <t>МУП ЖКХ г. Суджи</t>
  </si>
  <si>
    <t>4623003039</t>
  </si>
  <si>
    <t>30908088</t>
  </si>
  <si>
    <t>МУП ЖКХ п. Коренево</t>
  </si>
  <si>
    <t>4610000295</t>
  </si>
  <si>
    <t>30985093</t>
  </si>
  <si>
    <t>ООО "СРВ"</t>
  </si>
  <si>
    <t>4632232518</t>
  </si>
  <si>
    <t>30908060</t>
  </si>
  <si>
    <t>ООО "Сервис"</t>
  </si>
  <si>
    <t>4604005866</t>
  </si>
  <si>
    <t>30908077</t>
  </si>
  <si>
    <t>ООО "СпецЭкоТранс"</t>
  </si>
  <si>
    <t>4633037559</t>
  </si>
  <si>
    <t>30908264</t>
  </si>
  <si>
    <t>ООО "ТКО-Сервис"</t>
  </si>
  <si>
    <t>4616007522</t>
  </si>
  <si>
    <t>30908064</t>
  </si>
  <si>
    <t>ООО "ТКО-Транс"</t>
  </si>
  <si>
    <t>4634008430</t>
  </si>
  <si>
    <t>31716314</t>
  </si>
  <si>
    <t>ООО "Флагман-Курск"</t>
  </si>
  <si>
    <t>4632291175</t>
  </si>
  <si>
    <t>06-12-2023 00:00:00</t>
  </si>
  <si>
    <t>30908168</t>
  </si>
  <si>
    <t>ООО "ЩУК ЖКХ"</t>
  </si>
  <si>
    <t>4628006731</t>
  </si>
  <si>
    <t>30985803</t>
  </si>
  <si>
    <t>ООО "Эко-Альянс"</t>
  </si>
  <si>
    <t>7701395335</t>
  </si>
  <si>
    <t>770101001</t>
  </si>
  <si>
    <t>30987293</t>
  </si>
  <si>
    <t>ООО "ЭкоРесурс"</t>
  </si>
  <si>
    <t>4634010140</t>
  </si>
  <si>
    <t>30430600</t>
  </si>
  <si>
    <t>ООО "Экопол"</t>
  </si>
  <si>
    <t>4632060153</t>
  </si>
  <si>
    <t>30908091</t>
  </si>
  <si>
    <t>ООО "Экотранс"</t>
  </si>
  <si>
    <t>4632130361</t>
  </si>
  <si>
    <t>28967487</t>
  </si>
  <si>
    <t>УМП "СУР"</t>
  </si>
  <si>
    <t>4620006049</t>
  </si>
  <si>
    <t>NSRF</t>
  </si>
  <si>
    <t>MR_NAME</t>
  </si>
  <si>
    <t>OKTMO_MR_NAME</t>
  </si>
  <si>
    <t>MO_NAME</t>
  </si>
  <si>
    <t>OKTMO_NAME</t>
  </si>
  <si>
    <t>TYPE</t>
  </si>
  <si>
    <t>MR_ID</t>
  </si>
  <si>
    <t>Беловский муниципальный район</t>
  </si>
  <si>
    <t>38602000</t>
  </si>
  <si>
    <t>Беличанский сельсовет</t>
  </si>
  <si>
    <t>38602404</t>
  </si>
  <si>
    <t>сельское поселение</t>
  </si>
  <si>
    <t>муниципальный район</t>
  </si>
  <si>
    <t>Беловский сельсовет</t>
  </si>
  <si>
    <t>38602408</t>
  </si>
  <si>
    <t>Бобравский сельсовет</t>
  </si>
  <si>
    <t>38602412</t>
  </si>
  <si>
    <t>Вишневский сельсовет</t>
  </si>
  <si>
    <t>38602416</t>
  </si>
  <si>
    <t>Гирьянский сельсовет</t>
  </si>
  <si>
    <t>38602420</t>
  </si>
  <si>
    <t>Долгобудский сельсовет</t>
  </si>
  <si>
    <t>38602424</t>
  </si>
  <si>
    <t>Ильковский сельсовет</t>
  </si>
  <si>
    <t>38602428</t>
  </si>
  <si>
    <t>Коммунаровский сельсовет</t>
  </si>
  <si>
    <t>38602430</t>
  </si>
  <si>
    <t>Кондратовский сельсовет</t>
  </si>
  <si>
    <t>38602432</t>
  </si>
  <si>
    <t>Корочанский сельсовет</t>
  </si>
  <si>
    <t>38602436</t>
  </si>
  <si>
    <t>Малосолдатский сельсовет</t>
  </si>
  <si>
    <t>38602438</t>
  </si>
  <si>
    <t>Пенский сельсовет</t>
  </si>
  <si>
    <t>38602452</t>
  </si>
  <si>
    <t>Песчанский сельсовет</t>
  </si>
  <si>
    <t>38602454</t>
  </si>
  <si>
    <t>Щеголянский сельсовет</t>
  </si>
  <si>
    <t>38602460</t>
  </si>
  <si>
    <t>Большесолдатский муниципальный район</t>
  </si>
  <si>
    <t>38603000</t>
  </si>
  <si>
    <t>Большесолдатский сельсовет</t>
  </si>
  <si>
    <t>38603403</t>
  </si>
  <si>
    <t>Волоконский сельсовет</t>
  </si>
  <si>
    <t>38603412</t>
  </si>
  <si>
    <t>Любимовский сельсовет</t>
  </si>
  <si>
    <t>38603425</t>
  </si>
  <si>
    <t>Любостанский сельсовет</t>
  </si>
  <si>
    <t>38603427</t>
  </si>
  <si>
    <t>Нижнегридинский сельсовет</t>
  </si>
  <si>
    <t>38603430</t>
  </si>
  <si>
    <t>Саморядовский сельсовет</t>
  </si>
  <si>
    <t>38603451</t>
  </si>
  <si>
    <t>Сторожевский сельсовет</t>
  </si>
  <si>
    <t>38603457</t>
  </si>
  <si>
    <t>Глушковский муниципальный район</t>
  </si>
  <si>
    <t>38604000</t>
  </si>
  <si>
    <t>Алексеевский сельсовет</t>
  </si>
  <si>
    <t>38604404</t>
  </si>
  <si>
    <t>Веселовский сельсовет</t>
  </si>
  <si>
    <t>38604412</t>
  </si>
  <si>
    <t>Званновский сельсовет</t>
  </si>
  <si>
    <t>38604420</t>
  </si>
  <si>
    <t>Карыжский сельсовет</t>
  </si>
  <si>
    <t>38604424</t>
  </si>
  <si>
    <t>Кобыльский сельсовет</t>
  </si>
  <si>
    <t>38604428</t>
  </si>
  <si>
    <t>Коровяковский сельсовет</t>
  </si>
  <si>
    <t>38604432</t>
  </si>
  <si>
    <t>Кульбакинский сельсовет</t>
  </si>
  <si>
    <t>38604436</t>
  </si>
  <si>
    <t>Марковский сельсовет</t>
  </si>
  <si>
    <t>38604440</t>
  </si>
  <si>
    <t>Нижнемордокский сельсовет</t>
  </si>
  <si>
    <t>38604444</t>
  </si>
  <si>
    <t>Попово-Лежачанский сельсовет</t>
  </si>
  <si>
    <t>38604448</t>
  </si>
  <si>
    <t>Сухиновский сельсовет</t>
  </si>
  <si>
    <t>38604456</t>
  </si>
  <si>
    <t>поселок Глушково</t>
  </si>
  <si>
    <t>38604151</t>
  </si>
  <si>
    <t>городское поселение, в состав которого входит поселок</t>
  </si>
  <si>
    <t>поселок Теткино</t>
  </si>
  <si>
    <t>38604155</t>
  </si>
  <si>
    <t>Горшеченский муниципальный район</t>
  </si>
  <si>
    <t>38606000</t>
  </si>
  <si>
    <t>Богатыревский сельсовет</t>
  </si>
  <si>
    <t>38606404</t>
  </si>
  <si>
    <t>Быковский сельсовет</t>
  </si>
  <si>
    <t>38606408</t>
  </si>
  <si>
    <t>Знаменский сельсовет</t>
  </si>
  <si>
    <t>38606412</t>
  </si>
  <si>
    <t>Ключевский сельсовет</t>
  </si>
  <si>
    <t>38606416</t>
  </si>
  <si>
    <t>Куньевский сельсовет</t>
  </si>
  <si>
    <t>38606424</t>
  </si>
  <si>
    <t>Нижнеборковский сельсовет</t>
  </si>
  <si>
    <t>38606428</t>
  </si>
  <si>
    <t>Никольский сельсовет</t>
  </si>
  <si>
    <t>38606432</t>
  </si>
  <si>
    <t>Новомеловский сельсовет</t>
  </si>
  <si>
    <t>38606436</t>
  </si>
  <si>
    <t>Солдатский сельсовет</t>
  </si>
  <si>
    <t>38606444</t>
  </si>
  <si>
    <t>Сосновский сельсовет</t>
  </si>
  <si>
    <t>38606448</t>
  </si>
  <si>
    <t>Среднеапоченский сельсовет</t>
  </si>
  <si>
    <t>38606452</t>
  </si>
  <si>
    <t>Старороговский сельсовет</t>
  </si>
  <si>
    <t>38606460</t>
  </si>
  <si>
    <t>Удобенский сельсовет</t>
  </si>
  <si>
    <t>38606468</t>
  </si>
  <si>
    <t>Ясеновский сельсовет</t>
  </si>
  <si>
    <t>38606472</t>
  </si>
  <si>
    <t>поселок Горшечное</t>
  </si>
  <si>
    <t>38606151</t>
  </si>
  <si>
    <t>Дмитриевский муниципальный район</t>
  </si>
  <si>
    <t>38608000</t>
  </si>
  <si>
    <t>Дерюгинский сельсовет</t>
  </si>
  <si>
    <t>38608416</t>
  </si>
  <si>
    <t>Крупецкой сельсовет</t>
  </si>
  <si>
    <t>38608420</t>
  </si>
  <si>
    <t>Новопершинский сельсовет</t>
  </si>
  <si>
    <t>38608432</t>
  </si>
  <si>
    <t>Первоавгустовский сельсовет</t>
  </si>
  <si>
    <t>38608438</t>
  </si>
  <si>
    <t>Поповский сельсовет</t>
  </si>
  <si>
    <t>38608444</t>
  </si>
  <si>
    <t>Почепский сельсовет</t>
  </si>
  <si>
    <t>38608448</t>
  </si>
  <si>
    <t>60</t>
  </si>
  <si>
    <t>Старогородский сельсовет</t>
  </si>
  <si>
    <t>38608460</t>
  </si>
  <si>
    <t>61</t>
  </si>
  <si>
    <t>город Дмитриев</t>
  </si>
  <si>
    <t>38608101</t>
  </si>
  <si>
    <t>городское поселение, в состав которого входит город</t>
  </si>
  <si>
    <t>62</t>
  </si>
  <si>
    <t>Железногорский муниципальный район</t>
  </si>
  <si>
    <t>38610000</t>
  </si>
  <si>
    <t>Андросовский сельсовет</t>
  </si>
  <si>
    <t>38610404</t>
  </si>
  <si>
    <t>63</t>
  </si>
  <si>
    <t>Веретенинский сельсовет</t>
  </si>
  <si>
    <t>38610410</t>
  </si>
  <si>
    <t>64</t>
  </si>
  <si>
    <t>Волковский сельсовет</t>
  </si>
  <si>
    <t>38610412</t>
  </si>
  <si>
    <t>65</t>
  </si>
  <si>
    <t>Городновский сельсовет</t>
  </si>
  <si>
    <t>38610414</t>
  </si>
  <si>
    <t>67</t>
  </si>
  <si>
    <t>Кармановский сельсовет</t>
  </si>
  <si>
    <t>38610428</t>
  </si>
  <si>
    <t>Линецкий сельсовет</t>
  </si>
  <si>
    <t>38610416</t>
  </si>
  <si>
    <t>69</t>
  </si>
  <si>
    <t>Михайловский сельсовет</t>
  </si>
  <si>
    <t>38610420</t>
  </si>
  <si>
    <t>70</t>
  </si>
  <si>
    <t>Новоандросовский сельсовет</t>
  </si>
  <si>
    <t>38610424</t>
  </si>
  <si>
    <t>71</t>
  </si>
  <si>
    <t>Разветьевский сельсовет</t>
  </si>
  <si>
    <t>38610432</t>
  </si>
  <si>
    <t>72</t>
  </si>
  <si>
    <t>38610440</t>
  </si>
  <si>
    <t>73</t>
  </si>
  <si>
    <t>Студенокский сельсовет</t>
  </si>
  <si>
    <t>38610446</t>
  </si>
  <si>
    <t>74</t>
  </si>
  <si>
    <t>Троицкий сельсовет</t>
  </si>
  <si>
    <t>38610448</t>
  </si>
  <si>
    <t>75</t>
  </si>
  <si>
    <t>поселок Магнитный</t>
  </si>
  <si>
    <t>38610160</t>
  </si>
  <si>
    <t>76</t>
  </si>
  <si>
    <t>Золотухинский муниципальный район</t>
  </si>
  <si>
    <t>38612000</t>
  </si>
  <si>
    <t>Ануфриевский сельсовет</t>
  </si>
  <si>
    <t>38612404</t>
  </si>
  <si>
    <t>77</t>
  </si>
  <si>
    <t>Апальковский сельсовет</t>
  </si>
  <si>
    <t>38612406</t>
  </si>
  <si>
    <t>78</t>
  </si>
  <si>
    <t>Будановский сельсовет</t>
  </si>
  <si>
    <t>38612412</t>
  </si>
  <si>
    <t>79</t>
  </si>
  <si>
    <t>Дмитриевский сельсовет</t>
  </si>
  <si>
    <t>38612428</t>
  </si>
  <si>
    <t>80</t>
  </si>
  <si>
    <t>Донской сельсовет</t>
  </si>
  <si>
    <t>38612432</t>
  </si>
  <si>
    <t>81</t>
  </si>
  <si>
    <t>82</t>
  </si>
  <si>
    <t>Новоспасский сельсовет</t>
  </si>
  <si>
    <t>38612444</t>
  </si>
  <si>
    <t>83</t>
  </si>
  <si>
    <t>Свободинский сельсовет</t>
  </si>
  <si>
    <t>38612456</t>
  </si>
  <si>
    <t>84</t>
  </si>
  <si>
    <t>Солнечный сельсовет</t>
  </si>
  <si>
    <t>38612466</t>
  </si>
  <si>
    <t>85</t>
  </si>
  <si>
    <t>Тазовский сельсовет</t>
  </si>
  <si>
    <t>38612468</t>
  </si>
  <si>
    <t>86</t>
  </si>
  <si>
    <t>поселок Золотухино</t>
  </si>
  <si>
    <t>38612151</t>
  </si>
  <si>
    <t>87</t>
  </si>
  <si>
    <t>Касторенский муниципальный район</t>
  </si>
  <si>
    <t>38614000</t>
  </si>
  <si>
    <t>38614408</t>
  </si>
  <si>
    <t>88</t>
  </si>
  <si>
    <t>Андреевский сельсовет</t>
  </si>
  <si>
    <t>38614410</t>
  </si>
  <si>
    <t>89</t>
  </si>
  <si>
    <t>Верхнеграйворонский сельсовет</t>
  </si>
  <si>
    <t>38614416</t>
  </si>
  <si>
    <t>90</t>
  </si>
  <si>
    <t>Егорьевский сельсовет</t>
  </si>
  <si>
    <t>38614428</t>
  </si>
  <si>
    <t>91</t>
  </si>
  <si>
    <t>Жерновецкий сельсовет</t>
  </si>
  <si>
    <t>38614432</t>
  </si>
  <si>
    <t>92</t>
  </si>
  <si>
    <t>93</t>
  </si>
  <si>
    <t>Котовский сельсовет</t>
  </si>
  <si>
    <t>38614436</t>
  </si>
  <si>
    <t>94</t>
  </si>
  <si>
    <t>Краснодолинский сельсовет</t>
  </si>
  <si>
    <t>38614440</t>
  </si>
  <si>
    <t>95</t>
  </si>
  <si>
    <t>Краснознаменский сельсовет</t>
  </si>
  <si>
    <t>38614444</t>
  </si>
  <si>
    <t>96</t>
  </si>
  <si>
    <t>Лачиновский сельсовет</t>
  </si>
  <si>
    <t>38614448</t>
  </si>
  <si>
    <t>97</t>
  </si>
  <si>
    <t>Ленинский сельсовет</t>
  </si>
  <si>
    <t>38614452</t>
  </si>
  <si>
    <t>98</t>
  </si>
  <si>
    <t>Ореховский сельсовет</t>
  </si>
  <si>
    <t>38614464</t>
  </si>
  <si>
    <t>99</t>
  </si>
  <si>
    <t>Семеновский сельсовет</t>
  </si>
  <si>
    <t>38614472</t>
  </si>
  <si>
    <t>100</t>
  </si>
  <si>
    <t>Успенский сельсовет</t>
  </si>
  <si>
    <t>38614476</t>
  </si>
  <si>
    <t>101</t>
  </si>
  <si>
    <t>поселок Касторное</t>
  </si>
  <si>
    <t>38614151</t>
  </si>
  <si>
    <t>102</t>
  </si>
  <si>
    <t>поселок Новокасторное</t>
  </si>
  <si>
    <t>38614153</t>
  </si>
  <si>
    <t>103</t>
  </si>
  <si>
    <t>поселок Олымский</t>
  </si>
  <si>
    <t>38614154</t>
  </si>
  <si>
    <t>104</t>
  </si>
  <si>
    <t>Конышевский муниципальный район</t>
  </si>
  <si>
    <t>38616000</t>
  </si>
  <si>
    <t>Беляевский сельсовет</t>
  </si>
  <si>
    <t>38616404</t>
  </si>
  <si>
    <t>105</t>
  </si>
  <si>
    <t>Ваблинский сельсовет</t>
  </si>
  <si>
    <t>38616408</t>
  </si>
  <si>
    <t>106</t>
  </si>
  <si>
    <t>Захарковский сельсовет</t>
  </si>
  <si>
    <t>38616420</t>
  </si>
  <si>
    <t>107</t>
  </si>
  <si>
    <t>108</t>
  </si>
  <si>
    <t>Малогородьковский сельсовет</t>
  </si>
  <si>
    <t>38616426</t>
  </si>
  <si>
    <t>109</t>
  </si>
  <si>
    <t>Машкинский сельсовет</t>
  </si>
  <si>
    <t>38616428</t>
  </si>
  <si>
    <t>110</t>
  </si>
  <si>
    <t>Наумовский сельсовет</t>
  </si>
  <si>
    <t>38616432</t>
  </si>
  <si>
    <t>111</t>
  </si>
  <si>
    <t>Платавский сельсовет</t>
  </si>
  <si>
    <t>38616436</t>
  </si>
  <si>
    <t>112</t>
  </si>
  <si>
    <t>Прилепский сельсовет</t>
  </si>
  <si>
    <t>38616440</t>
  </si>
  <si>
    <t>113</t>
  </si>
  <si>
    <t>Старобелицкий сельсовет</t>
  </si>
  <si>
    <t>38616444</t>
  </si>
  <si>
    <t>114</t>
  </si>
  <si>
    <t>поселок Конышевка</t>
  </si>
  <si>
    <t>38616151</t>
  </si>
  <si>
    <t>115</t>
  </si>
  <si>
    <t>Кореневский муниципальный район</t>
  </si>
  <si>
    <t>38618000</t>
  </si>
  <si>
    <t>Викторовский сельсовет</t>
  </si>
  <si>
    <t>38618412</t>
  </si>
  <si>
    <t>116</t>
  </si>
  <si>
    <t>Комаровский сельсовет</t>
  </si>
  <si>
    <t>38618416</t>
  </si>
  <si>
    <t>117</t>
  </si>
  <si>
    <t>118</t>
  </si>
  <si>
    <t>Кореневский сельсовет</t>
  </si>
  <si>
    <t>38618420</t>
  </si>
  <si>
    <t>119</t>
  </si>
  <si>
    <t>38618428</t>
  </si>
  <si>
    <t>120</t>
  </si>
  <si>
    <t>Ольговский сельсовет</t>
  </si>
  <si>
    <t>38618432</t>
  </si>
  <si>
    <t>121</t>
  </si>
  <si>
    <t>Пушкарский сельсовет</t>
  </si>
  <si>
    <t>38618436</t>
  </si>
  <si>
    <t>122</t>
  </si>
  <si>
    <t>Снагостский сельсовет</t>
  </si>
  <si>
    <t>38618444</t>
  </si>
  <si>
    <t>123</t>
  </si>
  <si>
    <t>Толпинский сельсовет</t>
  </si>
  <si>
    <t>38618448</t>
  </si>
  <si>
    <t>124</t>
  </si>
  <si>
    <t>Шептуховский сельсовет</t>
  </si>
  <si>
    <t>38618452</t>
  </si>
  <si>
    <t>125</t>
  </si>
  <si>
    <t>поселок Коренево</t>
  </si>
  <si>
    <t>38618151</t>
  </si>
  <si>
    <t>126</t>
  </si>
  <si>
    <t>38620000</t>
  </si>
  <si>
    <t>133</t>
  </si>
  <si>
    <t>Курчатовский муниципальный район</t>
  </si>
  <si>
    <t>38621000</t>
  </si>
  <si>
    <t>Дичнянский сельсовет</t>
  </si>
  <si>
    <t>38621442</t>
  </si>
  <si>
    <t>145</t>
  </si>
  <si>
    <t>Дружненский сельсовет</t>
  </si>
  <si>
    <t>38621410</t>
  </si>
  <si>
    <t>146</t>
  </si>
  <si>
    <t>Колпаковский сельсовет</t>
  </si>
  <si>
    <t>38621418</t>
  </si>
  <si>
    <t>147</t>
  </si>
  <si>
    <t>Костельцевский сельсовет</t>
  </si>
  <si>
    <t>38621425</t>
  </si>
  <si>
    <t>148</t>
  </si>
  <si>
    <t>149</t>
  </si>
  <si>
    <t>Макаровский сельсовет</t>
  </si>
  <si>
    <t>38621422</t>
  </si>
  <si>
    <t>150</t>
  </si>
  <si>
    <t>Чаплинский сельсовет</t>
  </si>
  <si>
    <t>38621449</t>
  </si>
  <si>
    <t>151</t>
  </si>
  <si>
    <t>поселок Иванино</t>
  </si>
  <si>
    <t>38621152</t>
  </si>
  <si>
    <t>152</t>
  </si>
  <si>
    <t>поселок имени Карла Либкнехта</t>
  </si>
  <si>
    <t>38621153</t>
  </si>
  <si>
    <t>153</t>
  </si>
  <si>
    <t>Льговский муниципальный район</t>
  </si>
  <si>
    <t>38622000</t>
  </si>
  <si>
    <t>Большеугонский сельсовет</t>
  </si>
  <si>
    <t>38622410</t>
  </si>
  <si>
    <t>154</t>
  </si>
  <si>
    <t>Вышнедеревенский сельсовет</t>
  </si>
  <si>
    <t>38622417</t>
  </si>
  <si>
    <t>155</t>
  </si>
  <si>
    <t>Городенский сельсовет</t>
  </si>
  <si>
    <t>38622420</t>
  </si>
  <si>
    <t>156</t>
  </si>
  <si>
    <t>Густомойский сельсовет</t>
  </si>
  <si>
    <t>38622424</t>
  </si>
  <si>
    <t>157</t>
  </si>
  <si>
    <t>Иванчиковский сельсовет</t>
  </si>
  <si>
    <t>38622435</t>
  </si>
  <si>
    <t>158</t>
  </si>
  <si>
    <t>Кудинцевский сельсовет</t>
  </si>
  <si>
    <t>38622450</t>
  </si>
  <si>
    <t>159</t>
  </si>
  <si>
    <t>160</t>
  </si>
  <si>
    <t>Марицкий сельсовет</t>
  </si>
  <si>
    <t>38622464</t>
  </si>
  <si>
    <t>161</t>
  </si>
  <si>
    <t>Селекционный сельсовет</t>
  </si>
  <si>
    <t>38622477</t>
  </si>
  <si>
    <t>162</t>
  </si>
  <si>
    <t>Мантуровский муниципальный район</t>
  </si>
  <si>
    <t>38623000</t>
  </si>
  <si>
    <t>2 Засеймский сельсовет</t>
  </si>
  <si>
    <t>38623410</t>
  </si>
  <si>
    <t>163</t>
  </si>
  <si>
    <t>Куськинский сельсовет</t>
  </si>
  <si>
    <t>38623419</t>
  </si>
  <si>
    <t>164</t>
  </si>
  <si>
    <t>165</t>
  </si>
  <si>
    <t>Мантуровский сельсовет</t>
  </si>
  <si>
    <t>38623422</t>
  </si>
  <si>
    <t>166</t>
  </si>
  <si>
    <t>Останинский сельсовет</t>
  </si>
  <si>
    <t>38623426</t>
  </si>
  <si>
    <t>167</t>
  </si>
  <si>
    <t>Репецкий сельсовет</t>
  </si>
  <si>
    <t>38623436</t>
  </si>
  <si>
    <t>168</t>
  </si>
  <si>
    <t>Сеймский сельсовет</t>
  </si>
  <si>
    <t>38623441</t>
  </si>
  <si>
    <t>169</t>
  </si>
  <si>
    <t>Ястребовский сельсовет</t>
  </si>
  <si>
    <t>38623460</t>
  </si>
  <si>
    <t>170</t>
  </si>
  <si>
    <t>Медвенский муниципальный район</t>
  </si>
  <si>
    <t>38624000</t>
  </si>
  <si>
    <t>Амосовский сельсовет</t>
  </si>
  <si>
    <t>38624404</t>
  </si>
  <si>
    <t>171</t>
  </si>
  <si>
    <t>Высокский сельсовет</t>
  </si>
  <si>
    <t>38624408</t>
  </si>
  <si>
    <t>172</t>
  </si>
  <si>
    <t>Вышнереутчанский сельсовет</t>
  </si>
  <si>
    <t>38624416</t>
  </si>
  <si>
    <t>173</t>
  </si>
  <si>
    <t>Гостомлянский сельсовет</t>
  </si>
  <si>
    <t>38624420</t>
  </si>
  <si>
    <t>174</t>
  </si>
  <si>
    <t>Китаевский сельсовет</t>
  </si>
  <si>
    <t>38624424</t>
  </si>
  <si>
    <t>175</t>
  </si>
  <si>
    <t>176</t>
  </si>
  <si>
    <t>Нижнереутчанский сельсовет</t>
  </si>
  <si>
    <t>38624436</t>
  </si>
  <si>
    <t>177</t>
  </si>
  <si>
    <t>Паникинский сельсовет</t>
  </si>
  <si>
    <t>38624440</t>
  </si>
  <si>
    <t>178</t>
  </si>
  <si>
    <t>Панинский сельсовет</t>
  </si>
  <si>
    <t>38624444</t>
  </si>
  <si>
    <t>179</t>
  </si>
  <si>
    <t>Черемошнянский сельсовет</t>
  </si>
  <si>
    <t>38624456</t>
  </si>
  <si>
    <t>180</t>
  </si>
  <si>
    <t>поселок Медвенка</t>
  </si>
  <si>
    <t>38624151</t>
  </si>
  <si>
    <t>181</t>
  </si>
  <si>
    <t>Обоянский муниципальный район</t>
  </si>
  <si>
    <t>38626000</t>
  </si>
  <si>
    <t>Афанасьевский сельсовет</t>
  </si>
  <si>
    <t>38626404</t>
  </si>
  <si>
    <t>182</t>
  </si>
  <si>
    <t>Бабинский сельсовет</t>
  </si>
  <si>
    <t>38626408</t>
  </si>
  <si>
    <t>183</t>
  </si>
  <si>
    <t>Башкатовский сельсовет</t>
  </si>
  <si>
    <t>38626412</t>
  </si>
  <si>
    <t>184</t>
  </si>
  <si>
    <t>Быкановский сельсовет</t>
  </si>
  <si>
    <t>38626420</t>
  </si>
  <si>
    <t>185</t>
  </si>
  <si>
    <t>Гридасовский сельсовет</t>
  </si>
  <si>
    <t>38626424</t>
  </si>
  <si>
    <t>186</t>
  </si>
  <si>
    <t>Зоринский сельсовет</t>
  </si>
  <si>
    <t>38626432</t>
  </si>
  <si>
    <t>187</t>
  </si>
  <si>
    <t>Каменский сельсовет</t>
  </si>
  <si>
    <t>38626436</t>
  </si>
  <si>
    <t>188</t>
  </si>
  <si>
    <t>Котельниковский сельсовет</t>
  </si>
  <si>
    <t>38626444</t>
  </si>
  <si>
    <t>189</t>
  </si>
  <si>
    <t>190</t>
  </si>
  <si>
    <t>Рудавский сельсовет</t>
  </si>
  <si>
    <t>38626456</t>
  </si>
  <si>
    <t>191</t>
  </si>
  <si>
    <t>Рыбино-Будский сельсовет</t>
  </si>
  <si>
    <t>38626460</t>
  </si>
  <si>
    <t>192</t>
  </si>
  <si>
    <t>Усланский сельсовет</t>
  </si>
  <si>
    <t>38626468</t>
  </si>
  <si>
    <t>193</t>
  </si>
  <si>
    <t>Шевелевский сельсовет</t>
  </si>
  <si>
    <t>38626472</t>
  </si>
  <si>
    <t>194</t>
  </si>
  <si>
    <t>город Обоянь</t>
  </si>
  <si>
    <t>38626101</t>
  </si>
  <si>
    <t>195</t>
  </si>
  <si>
    <t>Октябрьский муниципальный район</t>
  </si>
  <si>
    <t>38628000</t>
  </si>
  <si>
    <t>Артюховский сельсовет</t>
  </si>
  <si>
    <t>38628404</t>
  </si>
  <si>
    <t>196</t>
  </si>
  <si>
    <t>Большедолженковский сельсовет</t>
  </si>
  <si>
    <t>38628408</t>
  </si>
  <si>
    <t>197</t>
  </si>
  <si>
    <t>Дьяконовский сельсовет</t>
  </si>
  <si>
    <t>38628412</t>
  </si>
  <si>
    <t>198</t>
  </si>
  <si>
    <t>Катыринский сельсовет</t>
  </si>
  <si>
    <t>38628416</t>
  </si>
  <si>
    <t>199</t>
  </si>
  <si>
    <t>Лобазовский сельсовет</t>
  </si>
  <si>
    <t>38628420</t>
  </si>
  <si>
    <t>200</t>
  </si>
  <si>
    <t>38628424</t>
  </si>
  <si>
    <t>201</t>
  </si>
  <si>
    <t>202</t>
  </si>
  <si>
    <t>Плотавский сельсовет</t>
  </si>
  <si>
    <t>38628426</t>
  </si>
  <si>
    <t>203</t>
  </si>
  <si>
    <t>Старковский сельсовет</t>
  </si>
  <si>
    <t>38628428</t>
  </si>
  <si>
    <t>204</t>
  </si>
  <si>
    <t>Филипповский сельсовет</t>
  </si>
  <si>
    <t>38628432</t>
  </si>
  <si>
    <t>205</t>
  </si>
  <si>
    <t>Черницынский сельсовет</t>
  </si>
  <si>
    <t>38628436</t>
  </si>
  <si>
    <t>206</t>
  </si>
  <si>
    <t>поселок Прямицыно</t>
  </si>
  <si>
    <t>38628151</t>
  </si>
  <si>
    <t>207</t>
  </si>
  <si>
    <t>Поныровский муниципальный район</t>
  </si>
  <si>
    <t>38630000</t>
  </si>
  <si>
    <t>1-й Поныровский сельсовет</t>
  </si>
  <si>
    <t>38630436</t>
  </si>
  <si>
    <t>208</t>
  </si>
  <si>
    <t>2-й Поныровский сельсовет</t>
  </si>
  <si>
    <t>38630440</t>
  </si>
  <si>
    <t>209</t>
  </si>
  <si>
    <t>Верхне-Смородинский сельсовет</t>
  </si>
  <si>
    <t>38630416</t>
  </si>
  <si>
    <t>210</t>
  </si>
  <si>
    <t>Возовский сельсовет</t>
  </si>
  <si>
    <t>38630418</t>
  </si>
  <si>
    <t>211</t>
  </si>
  <si>
    <t>Горяйновский сельсовет</t>
  </si>
  <si>
    <t>38630419</t>
  </si>
  <si>
    <t>212</t>
  </si>
  <si>
    <t>Ольховатский сельсовет</t>
  </si>
  <si>
    <t>38630428</t>
  </si>
  <si>
    <t>213</t>
  </si>
  <si>
    <t>Первомайский сельсовет</t>
  </si>
  <si>
    <t>38630432</t>
  </si>
  <si>
    <t>214</t>
  </si>
  <si>
    <t>215</t>
  </si>
  <si>
    <t>поселок Поныри</t>
  </si>
  <si>
    <t>38630151</t>
  </si>
  <si>
    <t>216</t>
  </si>
  <si>
    <t>Пристенский муниципальный район</t>
  </si>
  <si>
    <t>38632000</t>
  </si>
  <si>
    <t>Бобрышевский сельсовет</t>
  </si>
  <si>
    <t>38632404</t>
  </si>
  <si>
    <t>217</t>
  </si>
  <si>
    <t>38632428</t>
  </si>
  <si>
    <t>218</t>
  </si>
  <si>
    <t>Нагольненский сельсовет</t>
  </si>
  <si>
    <t>38632432</t>
  </si>
  <si>
    <t>219</t>
  </si>
  <si>
    <t>220</t>
  </si>
  <si>
    <t>Пристенский сельсовет</t>
  </si>
  <si>
    <t>38632444</t>
  </si>
  <si>
    <t>221</t>
  </si>
  <si>
    <t>Сазановский сельсовет</t>
  </si>
  <si>
    <t>38632460</t>
  </si>
  <si>
    <t>222</t>
  </si>
  <si>
    <t>Среднеольшанский сельсовет</t>
  </si>
  <si>
    <t>38632464</t>
  </si>
  <si>
    <t>223</t>
  </si>
  <si>
    <t>Черновецкий сельсовет</t>
  </si>
  <si>
    <t>38632473</t>
  </si>
  <si>
    <t>224</t>
  </si>
  <si>
    <t>Ярыгинский сельсовет</t>
  </si>
  <si>
    <t>38632480</t>
  </si>
  <si>
    <t>225</t>
  </si>
  <si>
    <t>поселок Кировский</t>
  </si>
  <si>
    <t>38632152</t>
  </si>
  <si>
    <t>226</t>
  </si>
  <si>
    <t>поселок Пристень</t>
  </si>
  <si>
    <t>38632151</t>
  </si>
  <si>
    <t>227</t>
  </si>
  <si>
    <t>Рыльский муниципальный район</t>
  </si>
  <si>
    <t>38634000</t>
  </si>
  <si>
    <t>Березниковский сельсовет</t>
  </si>
  <si>
    <t>38634412</t>
  </si>
  <si>
    <t>228</t>
  </si>
  <si>
    <t>Дуровский сельсовет</t>
  </si>
  <si>
    <t>38634432</t>
  </si>
  <si>
    <t>229</t>
  </si>
  <si>
    <t>Ивановский сельсовет</t>
  </si>
  <si>
    <t>38634436</t>
  </si>
  <si>
    <t>230</t>
  </si>
  <si>
    <t>Козинский сельсовет</t>
  </si>
  <si>
    <t>38634443</t>
  </si>
  <si>
    <t>231</t>
  </si>
  <si>
    <t>Крупецкий сельсовет</t>
  </si>
  <si>
    <t>38634448</t>
  </si>
  <si>
    <t>232</t>
  </si>
  <si>
    <t>Малогнеушевский сельсовет</t>
  </si>
  <si>
    <t>38634460</t>
  </si>
  <si>
    <t>233</t>
  </si>
  <si>
    <t>38634464</t>
  </si>
  <si>
    <t>234</t>
  </si>
  <si>
    <t>Некрасовский сельсовет</t>
  </si>
  <si>
    <t>38634468</t>
  </si>
  <si>
    <t>235</t>
  </si>
  <si>
    <t>Нехаевский сельсовет</t>
  </si>
  <si>
    <t>38634472</t>
  </si>
  <si>
    <t>236</t>
  </si>
  <si>
    <t>Никольниковский сельсовет</t>
  </si>
  <si>
    <t>38634476</t>
  </si>
  <si>
    <t>237</t>
  </si>
  <si>
    <t>Октябрьский сельсовет</t>
  </si>
  <si>
    <t>38634484</t>
  </si>
  <si>
    <t>238</t>
  </si>
  <si>
    <t>Пригородненский сельсовет</t>
  </si>
  <si>
    <t>38634488</t>
  </si>
  <si>
    <t>239</t>
  </si>
  <si>
    <t>240</t>
  </si>
  <si>
    <t>38634492</t>
  </si>
  <si>
    <t>241</t>
  </si>
  <si>
    <t>Щекинский сельсовет</t>
  </si>
  <si>
    <t>38634496</t>
  </si>
  <si>
    <t>242</t>
  </si>
  <si>
    <t>город Рыльск</t>
  </si>
  <si>
    <t>38634101</t>
  </si>
  <si>
    <t>243</t>
  </si>
  <si>
    <t>Советский муниципальный район</t>
  </si>
  <si>
    <t>38636000</t>
  </si>
  <si>
    <t>Александровский сельсовет</t>
  </si>
  <si>
    <t>38636404</t>
  </si>
  <si>
    <t>244</t>
  </si>
  <si>
    <t>Верхнерагозецкий сельсовет</t>
  </si>
  <si>
    <t>38636412</t>
  </si>
  <si>
    <t>245</t>
  </si>
  <si>
    <t>Волжанский сельсовет</t>
  </si>
  <si>
    <t>38636416</t>
  </si>
  <si>
    <t>246</t>
  </si>
  <si>
    <t>38636424</t>
  </si>
  <si>
    <t>247</t>
  </si>
  <si>
    <t>Ледовский сельсовет</t>
  </si>
  <si>
    <t>38636432</t>
  </si>
  <si>
    <t>248</t>
  </si>
  <si>
    <t>38636434</t>
  </si>
  <si>
    <t>249</t>
  </si>
  <si>
    <t>Мансуровский сельсовет</t>
  </si>
  <si>
    <t>38636436</t>
  </si>
  <si>
    <t>250</t>
  </si>
  <si>
    <t>Михайлоанненский сельсовет</t>
  </si>
  <si>
    <t>38636440</t>
  </si>
  <si>
    <t>251</t>
  </si>
  <si>
    <t>Нижнеграйворонский сельсовет</t>
  </si>
  <si>
    <t>38636448</t>
  </si>
  <si>
    <t>252</t>
  </si>
  <si>
    <t>253</t>
  </si>
  <si>
    <t>Советский сельсовет</t>
  </si>
  <si>
    <t>38636464</t>
  </si>
  <si>
    <t>254</t>
  </si>
  <si>
    <t>поселок Кшенский</t>
  </si>
  <si>
    <t>38636151</t>
  </si>
  <si>
    <t>255</t>
  </si>
  <si>
    <t>Солнцевский муниципальный район</t>
  </si>
  <si>
    <t>38638000</t>
  </si>
  <si>
    <t>Бунинский сельсовет</t>
  </si>
  <si>
    <t>38638408</t>
  </si>
  <si>
    <t>256</t>
  </si>
  <si>
    <t>Зуевский сельсовет</t>
  </si>
  <si>
    <t>38638428</t>
  </si>
  <si>
    <t>257</t>
  </si>
  <si>
    <t>38638432</t>
  </si>
  <si>
    <t>258</t>
  </si>
  <si>
    <t>259</t>
  </si>
  <si>
    <t>Старолещинский сельсовет</t>
  </si>
  <si>
    <t>38638448</t>
  </si>
  <si>
    <t>260</t>
  </si>
  <si>
    <t>Субботинский сельсовет</t>
  </si>
  <si>
    <t>38638452</t>
  </si>
  <si>
    <t>261</t>
  </si>
  <si>
    <t>38638460</t>
  </si>
  <si>
    <t>262</t>
  </si>
  <si>
    <t>поселок Солнцево</t>
  </si>
  <si>
    <t>38638151</t>
  </si>
  <si>
    <t>263</t>
  </si>
  <si>
    <t>Суджанский муниципальный район</t>
  </si>
  <si>
    <t>38640000</t>
  </si>
  <si>
    <t>Борковский сельсовет</t>
  </si>
  <si>
    <t>38640410</t>
  </si>
  <si>
    <t>264</t>
  </si>
  <si>
    <t>Воробжанский сельсовет</t>
  </si>
  <si>
    <t>38640415</t>
  </si>
  <si>
    <t>265</t>
  </si>
  <si>
    <t>Гончаровский сельсовет</t>
  </si>
  <si>
    <t>38640421</t>
  </si>
  <si>
    <t>266</t>
  </si>
  <si>
    <t>Гуевский сельсовет</t>
  </si>
  <si>
    <t>38640424</t>
  </si>
  <si>
    <t>267</t>
  </si>
  <si>
    <t>Замостянский сельсовет</t>
  </si>
  <si>
    <t>38640430</t>
  </si>
  <si>
    <t>268</t>
  </si>
  <si>
    <t>Заолешенский сельсовет</t>
  </si>
  <si>
    <t>38640433</t>
  </si>
  <si>
    <t>269</t>
  </si>
  <si>
    <t>Казачелокнянский сельсовет</t>
  </si>
  <si>
    <t>38640438</t>
  </si>
  <si>
    <t>270</t>
  </si>
  <si>
    <t>Малолокнянский сельсовет</t>
  </si>
  <si>
    <t>38640450</t>
  </si>
  <si>
    <t>271</t>
  </si>
  <si>
    <t>Мартыновский сельсовет</t>
  </si>
  <si>
    <t>38640453</t>
  </si>
  <si>
    <t>272</t>
  </si>
  <si>
    <t>Махновский сельсовет</t>
  </si>
  <si>
    <t>38640456</t>
  </si>
  <si>
    <t>273</t>
  </si>
  <si>
    <t>Новоивановский сельсовет</t>
  </si>
  <si>
    <t>38640463</t>
  </si>
  <si>
    <t>274</t>
  </si>
  <si>
    <t>Плеховский сельсовет</t>
  </si>
  <si>
    <t>38640466</t>
  </si>
  <si>
    <t>275</t>
  </si>
  <si>
    <t>Погребской сельсовет</t>
  </si>
  <si>
    <t>38640469</t>
  </si>
  <si>
    <t>276</t>
  </si>
  <si>
    <t>Пореченский сельсовет</t>
  </si>
  <si>
    <t>38640472</t>
  </si>
  <si>
    <t>277</t>
  </si>
  <si>
    <t>Свердликовский сельсовет</t>
  </si>
  <si>
    <t>38640474</t>
  </si>
  <si>
    <t>278</t>
  </si>
  <si>
    <t>279</t>
  </si>
  <si>
    <t>Уланковский сельсовет</t>
  </si>
  <si>
    <t>38640480</t>
  </si>
  <si>
    <t>280</t>
  </si>
  <si>
    <t>город Суджа</t>
  </si>
  <si>
    <t>38640101</t>
  </si>
  <si>
    <t>281</t>
  </si>
  <si>
    <t>Тимский муниципальный район</t>
  </si>
  <si>
    <t>38642000</t>
  </si>
  <si>
    <t>Барковский сельсовет</t>
  </si>
  <si>
    <t>38642401</t>
  </si>
  <si>
    <t>282</t>
  </si>
  <si>
    <t>Быстрецкий сельсовет</t>
  </si>
  <si>
    <t>38642402</t>
  </si>
  <si>
    <t>283</t>
  </si>
  <si>
    <t>Выгорновский сельсовет</t>
  </si>
  <si>
    <t>38642404</t>
  </si>
  <si>
    <t>284</t>
  </si>
  <si>
    <t>38642432</t>
  </si>
  <si>
    <t>285</t>
  </si>
  <si>
    <t>Погоженский сельсовет</t>
  </si>
  <si>
    <t>38642444</t>
  </si>
  <si>
    <t>286</t>
  </si>
  <si>
    <t>Становский сельсовет</t>
  </si>
  <si>
    <t>38642468</t>
  </si>
  <si>
    <t>287</t>
  </si>
  <si>
    <t>288</t>
  </si>
  <si>
    <t>Тимский сельсовет</t>
  </si>
  <si>
    <t>38642472</t>
  </si>
  <si>
    <t>289</t>
  </si>
  <si>
    <t>38642476</t>
  </si>
  <si>
    <t>290</t>
  </si>
  <si>
    <t>поселок Тим</t>
  </si>
  <si>
    <t>38642151</t>
  </si>
  <si>
    <t>291</t>
  </si>
  <si>
    <t>Фатежский муниципальный район</t>
  </si>
  <si>
    <t>38644000</t>
  </si>
  <si>
    <t>Банинский сельсовет</t>
  </si>
  <si>
    <t>38644402</t>
  </si>
  <si>
    <t>292</t>
  </si>
  <si>
    <t>Большеанненковский сельсовет</t>
  </si>
  <si>
    <t>38644408</t>
  </si>
  <si>
    <t>293</t>
  </si>
  <si>
    <t>Большежировский сельсовет</t>
  </si>
  <si>
    <t>38644412</t>
  </si>
  <si>
    <t>294</t>
  </si>
  <si>
    <t>Верхнелюбажский сельсовет</t>
  </si>
  <si>
    <t>38644416</t>
  </si>
  <si>
    <t>295</t>
  </si>
  <si>
    <t>Верхнехотемльский сельсовет</t>
  </si>
  <si>
    <t>38644420</t>
  </si>
  <si>
    <t>296</t>
  </si>
  <si>
    <t>Глебовский сельсовет</t>
  </si>
  <si>
    <t>38644424</t>
  </si>
  <si>
    <t>297</t>
  </si>
  <si>
    <t>Миленинский сельсовет</t>
  </si>
  <si>
    <t>38644444</t>
  </si>
  <si>
    <t>298</t>
  </si>
  <si>
    <t>Молотычевский сельсовет</t>
  </si>
  <si>
    <t>38644448</t>
  </si>
  <si>
    <t>299</t>
  </si>
  <si>
    <t>Русановский сельсовет</t>
  </si>
  <si>
    <t>38644464</t>
  </si>
  <si>
    <t>300</t>
  </si>
  <si>
    <t>38644468</t>
  </si>
  <si>
    <t>301</t>
  </si>
  <si>
    <t>302</t>
  </si>
  <si>
    <t>город Фатеж</t>
  </si>
  <si>
    <t>38644101</t>
  </si>
  <si>
    <t>303</t>
  </si>
  <si>
    <t>Хомутовский муниципальный район</t>
  </si>
  <si>
    <t>38646000</t>
  </si>
  <si>
    <t>Гламаздинский сельсовет</t>
  </si>
  <si>
    <t>38646412</t>
  </si>
  <si>
    <t>304</t>
  </si>
  <si>
    <t>Дубовицкий сельсовет</t>
  </si>
  <si>
    <t>38646416</t>
  </si>
  <si>
    <t>305</t>
  </si>
  <si>
    <t>Калиновский сельсовет</t>
  </si>
  <si>
    <t>38646420</t>
  </si>
  <si>
    <t>306</t>
  </si>
  <si>
    <t>Ольховский сельсовет</t>
  </si>
  <si>
    <t>38646448</t>
  </si>
  <si>
    <t>307</t>
  </si>
  <si>
    <t>Петровский сельсовет</t>
  </si>
  <si>
    <t>38646452</t>
  </si>
  <si>
    <t>308</t>
  </si>
  <si>
    <t>Романовский сельсовет</t>
  </si>
  <si>
    <t>38646464</t>
  </si>
  <si>
    <t>309</t>
  </si>
  <si>
    <t>Сальновский сельсовет</t>
  </si>
  <si>
    <t>38646468</t>
  </si>
  <si>
    <t>310</t>
  </si>
  <si>
    <t>Сковородневский сельсовет</t>
  </si>
  <si>
    <t>38646472</t>
  </si>
  <si>
    <t>311</t>
  </si>
  <si>
    <t>312</t>
  </si>
  <si>
    <t>поселок Хомутовка</t>
  </si>
  <si>
    <t>38646151</t>
  </si>
  <si>
    <t>313</t>
  </si>
  <si>
    <t>Черемисиновский муниципальный район</t>
  </si>
  <si>
    <t>38648000</t>
  </si>
  <si>
    <t>Краснополянский сельсовет</t>
  </si>
  <si>
    <t>38648406</t>
  </si>
  <si>
    <t>314</t>
  </si>
  <si>
    <t>38648412</t>
  </si>
  <si>
    <t>315</t>
  </si>
  <si>
    <t>Ниженский сельсовет</t>
  </si>
  <si>
    <t>38648416</t>
  </si>
  <si>
    <t>316</t>
  </si>
  <si>
    <t>38648427</t>
  </si>
  <si>
    <t>317</t>
  </si>
  <si>
    <t>Покровский сельсовет</t>
  </si>
  <si>
    <t>38648428</t>
  </si>
  <si>
    <t>318</t>
  </si>
  <si>
    <t>38648432</t>
  </si>
  <si>
    <t>319</t>
  </si>
  <si>
    <t>Стакановский сельсовет</t>
  </si>
  <si>
    <t>38648436</t>
  </si>
  <si>
    <t>320</t>
  </si>
  <si>
    <t>Удеревский сельсовет</t>
  </si>
  <si>
    <t>38648444</t>
  </si>
  <si>
    <t>321</t>
  </si>
  <si>
    <t>322</t>
  </si>
  <si>
    <t>поселок Черемисиново</t>
  </si>
  <si>
    <t>38648151</t>
  </si>
  <si>
    <t>323</t>
  </si>
  <si>
    <t>Щигровский муниципальный район</t>
  </si>
  <si>
    <t>38650000</t>
  </si>
  <si>
    <t>Большезмеинский сельсовет</t>
  </si>
  <si>
    <t>38650402</t>
  </si>
  <si>
    <t>324</t>
  </si>
  <si>
    <t>38650448</t>
  </si>
  <si>
    <t>325</t>
  </si>
  <si>
    <t>Вышнеольховатский сельсовет</t>
  </si>
  <si>
    <t>38650404</t>
  </si>
  <si>
    <t>326</t>
  </si>
  <si>
    <t>Вязовский сельсовет</t>
  </si>
  <si>
    <t>38650408</t>
  </si>
  <si>
    <t>327</t>
  </si>
  <si>
    <t>Защитенский сельсовет</t>
  </si>
  <si>
    <t>38650412</t>
  </si>
  <si>
    <t>328</t>
  </si>
  <si>
    <t>38650416</t>
  </si>
  <si>
    <t>329</t>
  </si>
  <si>
    <t>Касиновский сельсовет</t>
  </si>
  <si>
    <t>38650418</t>
  </si>
  <si>
    <t>330</t>
  </si>
  <si>
    <t>Косоржанский сельсовет</t>
  </si>
  <si>
    <t>38650420</t>
  </si>
  <si>
    <t>331</t>
  </si>
  <si>
    <t>Кривцовский сельсовет</t>
  </si>
  <si>
    <t>38650424</t>
  </si>
  <si>
    <t>332</t>
  </si>
  <si>
    <t>Крутовский сельсовет</t>
  </si>
  <si>
    <t>38650428</t>
  </si>
  <si>
    <t>333</t>
  </si>
  <si>
    <t>Мелехинский сельсовет</t>
  </si>
  <si>
    <t>38650432</t>
  </si>
  <si>
    <t>334</t>
  </si>
  <si>
    <t>38650436</t>
  </si>
  <si>
    <t>335</t>
  </si>
  <si>
    <t>Озерский сельсовет</t>
  </si>
  <si>
    <t>38650438</t>
  </si>
  <si>
    <t>336</t>
  </si>
  <si>
    <t>Охочевский сельсовет</t>
  </si>
  <si>
    <t>38650440</t>
  </si>
  <si>
    <t>337</t>
  </si>
  <si>
    <t>38650444</t>
  </si>
  <si>
    <t>338</t>
  </si>
  <si>
    <t>Теребужский сельсовет</t>
  </si>
  <si>
    <t>38650452</t>
  </si>
  <si>
    <t>339</t>
  </si>
  <si>
    <t>Титовский сельсовет</t>
  </si>
  <si>
    <t>38650456</t>
  </si>
  <si>
    <t>340</t>
  </si>
  <si>
    <t>Троицкокраснянский сельсовет</t>
  </si>
  <si>
    <t>38650460</t>
  </si>
  <si>
    <t>341</t>
  </si>
  <si>
    <t>342</t>
  </si>
  <si>
    <t>город Железногорск</t>
  </si>
  <si>
    <t>38705000</t>
  </si>
  <si>
    <t>городской округ</t>
  </si>
  <si>
    <t>343</t>
  </si>
  <si>
    <t>город Курск</t>
  </si>
  <si>
    <t>38701000</t>
  </si>
  <si>
    <t>344</t>
  </si>
  <si>
    <t>город Курчатов</t>
  </si>
  <si>
    <t>38708000</t>
  </si>
  <si>
    <t>345</t>
  </si>
  <si>
    <t>город Льгов</t>
  </si>
  <si>
    <t>38710000</t>
  </si>
  <si>
    <t>346</t>
  </si>
  <si>
    <t>город Щигры</t>
  </si>
  <si>
    <t>38715000</t>
  </si>
  <si>
    <t>347</t>
  </si>
  <si>
    <t>NUMBER_POINT</t>
  </si>
  <si>
    <t>INVP_NAME</t>
  </si>
  <si>
    <t>INVP_ID</t>
  </si>
  <si>
    <t>L_START_DATE</t>
  </si>
  <si>
    <t>L_END_DATE</t>
  </si>
  <si>
    <t>L_DECISION_NAME</t>
  </si>
  <si>
    <t>L_DECISION_TYPE</t>
  </si>
  <si>
    <t>L_DECISION_NMBR</t>
  </si>
  <si>
    <t>L_DECISION_DATE</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</si>
  <si>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</si>
  <si>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</si>
  <si>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</si>
  <si>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</si>
  <si>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</si>
  <si>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</si>
  <si>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</si>
  <si>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</si>
  <si>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</si>
  <si>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</si>
  <si>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</si>
  <si>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</si>
  <si>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</si>
  <si>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</si>
  <si>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Территория 14</t>
  </si>
  <si>
    <t>Территория 15</t>
  </si>
  <si>
    <t>Территория 16</t>
  </si>
  <si>
    <t>Территория 17</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</si>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</sst>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12" formatCode="000000"/>
    <numFmt numFmtId="513" formatCode="#,##0.000"/>
    <numFmt numFmtId="514" formatCode="#,##0.0000"/>
    <numFmt numFmtId="515" formatCode="dd\.mm\.yyyy"/>
    <numFmt numFmtId="516" formatCode="h:mm;@"/>
    <numFmt numFmtId="517" formatCode="_-* #,##0.00\ _₽_-;\-* #,##0.00\ _₽_-;_-* &quot;-&quot;??\ _₽_-;_-@_-"/>
    <numFmt numFmtId="518" formatCode="_-* #,##0\ _₽_-;\-* #,##0\ _₽_-;_-* &quot;-&quot;\ _₽_-;_-@_-"/>
    <numFmt numFmtId="519" formatCode="_-* #,##0.00\ &quot;₽&quot;_-;\-* #,##0.00\ &quot;₽&quot;_-;_-* &quot;-&quot;??\ &quot;₽&quot;_-;_-@_-"/>
    <numFmt numFmtId="520" formatCode="_-* #,##0\ &quot;₽&quot;_-;\-* #,##0\ &quot;₽&quot;_-;_-* &quot;-&quot;\ &quot;₽&quot;_-;_-@_-"/>
    <numFmt numFmtId="521" formatCode="_-* #,##0.00[$€-1]_-;\-* #,##0.00[$€-1]_-;_-* &quot;-&quot;??[$€-1]_-"/>
    <numFmt numFmtId="522"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17" fontId="6" fillId="0" borderId="0" applyFont="0" applyFill="0" applyBorder="0" applyNumberFormat="1">
      <alignment vertical="top"/>
    </xf>
    <xf numFmtId="518" fontId="6" fillId="0" borderId="0" applyFont="0" applyFill="0" applyBorder="0" applyNumberFormat="1">
      <alignment vertical="top"/>
    </xf>
    <xf numFmtId="519" fontId="6" fillId="0" borderId="0" applyFont="0" applyFill="0" applyBorder="0" applyNumberFormat="1">
      <alignment vertical="top"/>
    </xf>
    <xf numFmtId="52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21" fontId="20" fillId="0" borderId="0" applyFont="1" applyFill="0" applyBorder="0" applyNumberFormat="1"/>
    <xf numFmtId="38" fontId="21" fillId="0" borderId="0" applyFont="1" applyFill="0" applyBorder="0" applyNumberFormat="1">
      <alignment vertical="top"/>
    </xf>
    <xf numFmtId="522" fontId="22" fillId="33" borderId="0" applyFont="1" applyFill="1" applyBorder="0" applyNumberFormat="1">
      <protection locked="0"/>
    </xf>
    <xf numFmtId="0" fontId="23" fillId="0" borderId="0" applyFont="1" applyFill="0" applyBorder="0">
      <alignment vertical="center"/>
    </xf>
    <xf numFmtId="513" fontId="22" fillId="33" borderId="0" applyFont="1" applyFill="1" applyBorder="0" applyNumberFormat="1">
      <protection locked="0"/>
    </xf>
    <xf numFmtId="51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369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17" fontId="6" fillId="0" borderId="0" xfId="28" applyNumberFormat="1">
      <alignment vertical="top"/>
    </xf>
    <xf numFmtId="518" fontId="6" fillId="0" borderId="0" xfId="29" applyNumberFormat="1">
      <alignment vertical="top"/>
    </xf>
    <xf numFmtId="519" fontId="6" fillId="0" borderId="0" xfId="30" applyNumberFormat="1">
      <alignment vertical="top"/>
    </xf>
    <xf numFmtId="520"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21" fontId="20" fillId="0" borderId="0" xfId="49" applyFont="1" applyNumberFormat="1"/>
    <xf numFmtId="38" fontId="21" fillId="0" borderId="0" xfId="50" applyFont="1" applyNumberFormat="1">
      <alignment vertical="top"/>
    </xf>
    <xf numFmtId="522" fontId="22" fillId="33" borderId="0" xfId="51" applyFont="1" applyFill="1" applyNumberFormat="1">
      <protection locked="0"/>
    </xf>
    <xf numFmtId="0" fontId="23" fillId="0" borderId="0" xfId="52" applyFont="1">
      <alignment vertical="center"/>
    </xf>
    <xf numFmtId="513" fontId="22" fillId="33" borderId="0" xfId="53" applyFont="1" applyFill="1" applyNumberFormat="1">
      <protection locked="0"/>
    </xf>
    <xf numFmtId="51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17" fontId="31" fillId="0" borderId="0" xfId="28" applyFont="1" applyNumberFormat="1">
      <alignment vertical="top"/>
    </xf>
    <xf numFmtId="518" fontId="31" fillId="0" borderId="0" xfId="29" applyFont="1" applyNumberFormat="1">
      <alignment vertical="top"/>
    </xf>
    <xf numFmtId="519" fontId="31" fillId="0" borderId="0" xfId="30" applyFont="1" applyNumberFormat="1">
      <alignment vertical="top"/>
    </xf>
    <xf numFmtId="52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17" fontId="31" fillId="0" borderId="0" xfId="28" applyFont="1" applyNumberFormat="1">
      <alignment vertical="top"/>
    </xf>
    <xf numFmtId="518" fontId="31" fillId="0" borderId="0" xfId="29" applyFont="1" applyNumberFormat="1">
      <alignment vertical="top"/>
    </xf>
    <xf numFmtId="519" fontId="31" fillId="0" borderId="0" xfId="30" applyFont="1" applyNumberFormat="1">
      <alignment vertical="top"/>
    </xf>
    <xf numFmtId="52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1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1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14"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14"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14"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1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14"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14" fontId="22" fillId="39" borderId="13" xfId="0" applyFont="1" applyFill="1" applyBorder="1" applyNumberFormat="1">
      <alignment horizontal="right" vertical="center" wrapText="1"/>
      <protection locked="0"/>
    </xf>
    <xf numFmtId="51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13"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13"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13"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1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1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12"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15" fontId="0" fillId="39" borderId="12" xfId="0" applyFont="1" applyFill="1" applyBorder="1" applyNumberFormat="1">
      <alignment horizontal="left" vertical="center" wrapText="1" indent="1"/>
      <protection locked="0"/>
    </xf>
    <xf numFmtId="515" fontId="0" fillId="0" borderId="12" xfId="0" applyFont="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515" fontId="48" fillId="0" borderId="0" xfId="0" applyFont="1" applyNumberFormat="1">
      <alignment horizontal="center" vertical="center" wrapText="1"/>
    </xf>
    <xf numFmtId="515" fontId="48" fillId="0" borderId="12" xfId="0" applyFont="1" applyBorder="1" applyNumberFormat="1">
      <alignment horizontal="center" vertical="center" wrapText="1"/>
    </xf>
    <xf numFmtId="515" fontId="0" fillId="39" borderId="12" xfId="0" applyFont="1" applyFill="1" applyBorder="1" applyNumberFormat="1">
      <alignment horizontal="left" vertical="center" wrapText="1"/>
      <protection locked="0"/>
    </xf>
    <xf numFmtId="515" fontId="0" fillId="36" borderId="12" xfId="0" applyFont="1" applyFill="1" applyBorder="1" applyNumberFormat="1">
      <alignment horizontal="left" vertical="center" wrapText="1" indent="1"/>
      <protection locked="0"/>
    </xf>
    <xf numFmtId="515"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15" fontId="0" fillId="39" borderId="14" xfId="0" applyFont="1" applyFill="1" applyBorder="1" applyNumberFormat="1">
      <alignment horizontal="left" vertical="center" wrapText="1"/>
      <protection locked="0"/>
    </xf>
    <xf numFmtId="51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12"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12"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516" fontId="22" fillId="39" borderId="12" xfId="0" applyFont="1" applyFill="1" applyBorder="1" applyNumberFormat="1">
      <alignment horizontal="left" vertical="center" wrapText="1" indent="1"/>
      <protection locked="0"/>
    </xf>
    <xf numFmtId="51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15"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15" fontId="22" fillId="34"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1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12" fontId="22" fillId="0" borderId="17"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51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1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15"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1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1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1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vertical="center"/>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vertical="top"/>
      <protection locked="0"/>
    </xf>
    <xf numFmtId="0" fontId="0" fillId="40" borderId="12" xfId="0" applyFont="1" applyFill="1" applyBorder="1" applyNumberFormat="1">
      <alignment horizontal="left" vertical="center" wrapText="1"/>
    </xf>
    <xf numFmtId="49" fontId="22" fillId="40" borderId="17"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40"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49" fontId="0" fillId="39" borderId="12" xfId="0" applyFont="1" applyFill="1" applyBorder="1" applyNumberFormat="1">
      <alignment horizontal="left" vertical="center" wrapText="1"/>
      <protection locked="0"/>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15"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1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1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1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1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110" fillId="0" borderId="0" xfId="0" applyFont="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15"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7"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12" xfId="0" applyFont="1" applyBorder="1" applyNumberFormat="1">
      <alignment horizontal="center" vertical="center"/>
    </xf>
    <xf numFmtId="0" fontId="47" fillId="0" borderId="0" xfId="0" applyFont="1" applyNumberFormat="1">
      <alignment horizontal="left" vertical="center" wrapText="1"/>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4"/>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top"/>
    </xf>
    <xf numFmtId="49" fontId="39" fillId="0" borderId="0" xfId="0" applyFont="1" applyNumberFormat="1">
      <alignment vertical="top"/>
    </xf>
    <xf numFmtId="49" fontId="22" fillId="0" borderId="24" xfId="0" applyFont="1" applyBorder="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horizontal="left" vertical="center"/>
    </xf>
    <xf numFmtId="49" fontId="48" fillId="0" borderId="0" xfId="0" applyFont="1" applyNumberFormat="1">
      <alignment vertical="top"/>
    </xf>
    <xf numFmtId="49" fontId="107" fillId="0" borderId="0" xfId="0" applyFont="1" applyNumberFormat="1">
      <alignment vertical="top"/>
    </xf>
    <xf numFmtId="49" fontId="97" fillId="0" borderId="0" xfId="0" applyFont="1" applyNumberFormat="1">
      <alignment horizontal="left" vertical="center"/>
    </xf>
    <xf numFmtId="49" fontId="48"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1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1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14" fontId="22" fillId="34" borderId="13" xfId="0" applyFont="1" applyFill="1" applyBorder="1" applyNumberFormat="1">
      <alignment horizontal="right" vertical="center" wrapText="1"/>
    </xf>
    <xf numFmtId="51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1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1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1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12" fontId="22" fillId="0" borderId="37" xfId="0" applyFont="1" applyBorder="1" applyNumberFormat="1">
      <alignment horizontal="center" vertical="center" wrapText="1"/>
    </xf>
    <xf numFmtId="5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15" fontId="0" fillId="39" borderId="15" xfId="0" applyFont="1" applyFill="1" applyBorder="1" applyNumberFormat="1">
      <alignment horizontal="left" vertical="center" wrapText="1" indent="1"/>
      <protection locked="0"/>
    </xf>
    <xf numFmtId="516" fontId="22" fillId="39" borderId="12" xfId="0" applyFont="1" applyFill="1" applyBorder="1" applyNumberFormat="1">
      <alignment horizontal="left" vertical="center" wrapText="1" indent="1"/>
      <protection locked="0"/>
    </xf>
    <xf numFmtId="515" fontId="48" fillId="0" borderId="0" xfId="0" applyFont="1" applyNumberFormat="1">
      <alignment horizontal="center" vertical="center" wrapText="1"/>
    </xf>
    <xf numFmtId="512" fontId="22" fillId="0" borderId="17"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12" fontId="45" fillId="0" borderId="19" xfId="0" applyFont="1" applyBorder="1" applyNumberFormat="1">
      <alignment horizontal="center"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0" fontId="48" fillId="0" borderId="0" xfId="0" applyFont="1" applyNumberFormat="1">
      <alignment horizontal="center" vertical="center"/>
    </xf>
    <xf numFmtId="512" fontId="22" fillId="0" borderId="12" xfId="0" applyFont="1" applyBorder="1" applyNumberFormat="1">
      <alignment horizontal="center"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49" fontId="22" fillId="39" borderId="12" xfId="0" applyFont="1" applyFill="1" applyBorder="1" applyNumberFormat="1">
      <alignment horizontal="left" vertical="center" wrapText="1"/>
      <protection locked="0"/>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51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40" fillId="37" borderId="13" xfId="0" applyFont="1" applyFill="1" applyBorder="1" applyNumberFormat="1">
      <alignment horizontal="left" vertical="center"/>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1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1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515" fontId="0" fillId="39" borderId="12" xfId="0" applyFont="1" applyFill="1" applyBorder="1" applyNumberFormat="1">
      <alignment horizontal="left" vertical="center" wrapText="1" indent="1"/>
      <protection locked="0"/>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1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vertical="top"/>
      <protection locked="0"/>
    </xf>
    <xf numFmtId="0" fontId="0" fillId="40" borderId="12" xfId="0" applyFont="1" applyFill="1" applyBorder="1" applyNumberFormat="1">
      <alignment horizontal="left" vertical="center" wrapText="1"/>
    </xf>
    <xf numFmtId="49" fontId="22" fillId="40" borderId="17"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40"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49" fontId="0" fillId="39" borderId="12" xfId="0" applyFont="1" applyFill="1" applyBorder="1" applyNumberFormat="1">
      <alignment horizontal="left" vertical="center" wrapText="1"/>
      <protection locked="0"/>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15"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1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1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1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1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110" fillId="0" borderId="0" xfId="0" applyFont="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15"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7"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12" xfId="0" applyFont="1" applyBorder="1" applyNumberFormat="1">
      <alignment horizontal="center" vertical="center"/>
    </xf>
    <xf numFmtId="0" fontId="47" fillId="0" borderId="0" xfId="0" applyFont="1" applyNumberFormat="1">
      <alignment horizontal="left" vertical="center" wrapText="1"/>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4"/>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top"/>
    </xf>
    <xf numFmtId="49" fontId="39" fillId="0" borderId="0" xfId="0" applyFont="1" applyNumberFormat="1">
      <alignment vertical="top"/>
    </xf>
    <xf numFmtId="49" fontId="22" fillId="0" borderId="24" xfId="0" applyFont="1" applyBorder="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horizontal="left" vertical="center"/>
    </xf>
    <xf numFmtId="49" fontId="48" fillId="0" borderId="0" xfId="0" applyFont="1" applyNumberFormat="1">
      <alignment vertical="top"/>
    </xf>
    <xf numFmtId="49" fontId="107" fillId="0" borderId="0" xfId="0" applyFont="1" applyNumberFormat="1">
      <alignment vertical="top"/>
    </xf>
    <xf numFmtId="49" fontId="97" fillId="0" borderId="0" xfId="0" applyFont="1" applyNumberFormat="1">
      <alignment horizontal="left" vertical="center"/>
    </xf>
    <xf numFmtId="49" fontId="48"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1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1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14" fontId="22" fillId="34" borderId="13" xfId="0" applyFont="1" applyFill="1" applyBorder="1" applyNumberFormat="1">
      <alignment horizontal="right" vertical="center" wrapText="1"/>
    </xf>
    <xf numFmtId="51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1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1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1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12" fontId="22" fillId="0" borderId="37" xfId="0" applyFont="1" applyBorder="1" applyNumberFormat="1">
      <alignment horizontal="center" vertical="center" wrapText="1"/>
    </xf>
    <xf numFmtId="5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15" fontId="0" fillId="39" borderId="15" xfId="0" applyFont="1" applyFill="1" applyBorder="1" applyNumberFormat="1">
      <alignment horizontal="left" vertical="center" wrapText="1" indent="1"/>
      <protection locked="0"/>
    </xf>
    <xf numFmtId="516" fontId="22" fillId="39" borderId="12" xfId="0" applyFont="1" applyFill="1" applyBorder="1" applyNumberFormat="1">
      <alignment horizontal="left" vertical="center" wrapText="1" indent="1"/>
      <protection locked="0"/>
    </xf>
    <xf numFmtId="515" fontId="48" fillId="0" borderId="0" xfId="0" applyFont="1" applyNumberFormat="1">
      <alignment horizontal="center" vertical="center" wrapText="1"/>
    </xf>
    <xf numFmtId="512" fontId="22" fillId="0" borderId="17"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12" fontId="45" fillId="0" borderId="19" xfId="0" applyFont="1" applyBorder="1" applyNumberFormat="1">
      <alignment horizontal="center"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12" fontId="22" fillId="0" borderId="12" xfId="0" applyFont="1" applyBorder="1" applyNumberFormat="1">
      <alignment horizontal="center"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49" fontId="22" fillId="39" borderId="12" xfId="0" applyFont="1" applyFill="1" applyBorder="1" applyNumberFormat="1">
      <alignment horizontal="left" vertical="center" wrapText="1"/>
      <protection locked="0"/>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51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40" fillId="37" borderId="13" xfId="0" applyFont="1" applyFill="1" applyBorder="1" applyNumberFormat="1">
      <alignment horizontal="left" vertical="center"/>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0" fillId="0" borderId="0" xfId="0" applyFont="1" applyNumberFormat="1">
      <alignment vertical="top"/>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rodnik4611013586@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FEB43F-C56D-0C98-6D47-1A28FB9BDF8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229" width="5.421875" customWidth="1"/>
    <col min="2" max="2" style="8229" width="9.140625" customWidth="1"/>
    <col min="3" max="3" style="8229" width="16.421875" customWidth="1"/>
    <col min="4" max="25" style="8229" width="6.28125" customWidth="1"/>
    <col min="26" max="28" style="8229"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CA9711E-9377-E34E-58A3-242F9569A7B4}" mc:Ignorable="x14ac xr xr2 xr3">
  <sheetPr>
    <tabColor rgb="FFCCCCFF"/>
  </sheetPr>
  <dimension ref="A1:Q79"/>
  <sheetViews>
    <sheetView topLeftCell="A1" showGridLines="0" zoomScale="90" workbookViewId="0">
      <selection activeCell="I33" sqref="I33"/>
    </sheetView>
  </sheetViews>
  <sheetFormatPr defaultColWidth="9.140625" customHeight="1" defaultRowHeight="11.25"/>
  <cols>
    <col min="1" max="1" style="8349" width="10.7109375" hidden="1" customWidth="1"/>
    <col min="2" max="2" style="8350" width="10.7109375" hidden="1" customWidth="1"/>
    <col min="3" max="3" style="8351" width="3.00390625" customWidth="1"/>
    <col min="4" max="4" style="8273" width="1.00390625" customWidth="1"/>
    <col min="5" max="6" style="8273" width="55.00390625" customWidth="1"/>
    <col min="7" max="7" style="8352" width="1.00390625" customWidth="1"/>
    <col min="8" max="8" style="8273" width="18.00390625" hidden="1" customWidth="1"/>
    <col min="9" max="9" style="8353" width="59.00390625" customWidth="1"/>
    <col min="10" max="10" style="8354" width="52.140625" hidden="1" customWidth="1"/>
    <col min="11" max="11" style="8273" width="8.00390625" customWidth="1"/>
    <col min="12" max="12" style="8273" width="77.00390625" customWidth="1"/>
    <col min="13" max="16" style="8273" width="8.00390625" customWidth="1"/>
    <col min="17" max="17" style="8273" width="12.00390625" hidden="1" customWidth="1"/>
  </cols>
  <sheetData>
    <row s="8230" customFormat="1" customHeight="1" ht="3">
      <c r="A1" s="896"/>
      <c r="B1" s="354"/>
      <c r="F1" s="355" t="s">
        <v>13</v>
      </c>
      <c r="G1" s="524"/>
      <c r="H1" s="184"/>
      <c r="I1" s="524"/>
      <c r="J1" s="984"/>
      <c r="Q1" s="355" t="s">
        <v>14</v>
      </c>
    </row>
    <row s="8237" customFormat="1" customHeight="1" ht="14.25">
      <c r="A2" s="896"/>
      <c r="B2" s="211"/>
      <c r="E2" s="1853" t="str">
        <f>code</f>
        <v>Код отчёта: PP108.OPEN.INFO.REQUEST.COLDVSNA.EIAS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8248" customFormat="1" customHeight="1" ht="6.3">
      <c r="A4" s="897"/>
      <c r="B4" s="345"/>
      <c r="C4" s="346"/>
      <c r="D4" s="347"/>
      <c r="E4" s="356"/>
      <c r="F4" s="357"/>
      <c r="G4" s="884"/>
      <c r="H4" s="522"/>
      <c r="I4" s="524"/>
      <c r="J4" s="987"/>
      <c r="Q4" s="349">
        <v>6</v>
      </c>
    </row>
    <row customHeight="1" ht="39.75">
      <c r="D5" s="188"/>
      <c r="E5" s="2208"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09"/>
      <c r="G5" s="885"/>
      <c r="J5" s="988"/>
      <c r="Q5" s="187">
        <v>38</v>
      </c>
    </row>
    <row s="8248" customFormat="1" customHeight="1" ht="6.3">
      <c r="A6" s="897"/>
      <c r="B6" s="345"/>
      <c r="C6" s="346"/>
      <c r="D6" s="347"/>
      <c r="E6" s="350"/>
      <c r="F6" s="351"/>
      <c r="G6" s="885"/>
      <c r="H6" s="522"/>
      <c r="I6" s="524"/>
      <c r="J6" s="987"/>
      <c r="Q6" s="349">
        <v>6</v>
      </c>
    </row>
    <row customHeight="1" ht="21">
      <c r="D7" s="188"/>
      <c r="E7" s="504" t="s">
        <v>15</v>
      </c>
      <c r="F7" s="328" t="s">
        <v>16</v>
      </c>
      <c r="G7" s="885"/>
      <c r="Q7" s="187">
        <v>20</v>
      </c>
    </row>
    <row s="8248" customFormat="1" customHeight="1" ht="6.3">
      <c r="A8" s="898"/>
      <c r="B8" s="345"/>
      <c r="C8" s="346"/>
      <c r="D8" s="352"/>
      <c r="E8" s="350"/>
      <c r="F8" s="353"/>
      <c r="G8" s="190"/>
      <c r="H8" s="522"/>
      <c r="I8" s="524"/>
      <c r="J8" s="990"/>
      <c r="Q8" s="349">
        <v>6</v>
      </c>
    </row>
    <row s="8273"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8248"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45658</v>
      </c>
      <c r="G11" s="190"/>
      <c r="H11" s="886" t="s">
        <v>22</v>
      </c>
      <c r="J11" s="989" t="s">
        <v>23</v>
      </c>
      <c r="Q11" s="187">
        <v>0</v>
      </c>
    </row>
    <row customHeight="1" ht="22.5">
      <c r="A12" s="2211"/>
      <c r="D12" s="188"/>
      <c r="E12" s="1278" t="s">
        <v>24</v>
      </c>
      <c r="F12" s="2843">
        <v>46022</v>
      </c>
      <c r="G12" s="186"/>
      <c r="J12" s="989" t="s">
        <v>25</v>
      </c>
      <c r="Q12" s="187">
        <v>0</v>
      </c>
    </row>
    <row s="8273" customFormat="1" customHeight="1" ht="22.5" hidden="1">
      <c r="A13" s="901" t="s">
        <v>26</v>
      </c>
      <c r="B13" s="211"/>
      <c r="C13" s="521"/>
      <c r="D13" s="523"/>
      <c r="E13" s="1888" t="s">
        <v>27</v>
      </c>
      <c r="F13" s="1845" t="s">
        <v>28</v>
      </c>
      <c r="G13" s="190"/>
      <c r="H13" s="883"/>
      <c r="I13" s="524"/>
      <c r="J13" s="1889" t="s">
        <v>29</v>
      </c>
      <c r="Q13" s="522">
        <v>0</v>
      </c>
    </row>
    <row s="8273" customFormat="1" customHeight="1" ht="27" hidden="1">
      <c r="A14" s="901" t="s">
        <v>30</v>
      </c>
      <c r="B14" s="211"/>
      <c r="C14" s="521"/>
      <c r="D14" s="523"/>
      <c r="E14" s="1278" t="s">
        <v>31</v>
      </c>
      <c r="F14" s="1880"/>
      <c r="G14" s="190"/>
      <c r="H14" s="883"/>
      <c r="I14" s="524"/>
      <c r="J14" s="989" t="s">
        <v>32</v>
      </c>
      <c r="Q14" s="522">
        <v>0</v>
      </c>
    </row>
    <row s="8273" customFormat="1" customHeight="1" ht="19.5" hidden="1">
      <c r="A15" s="901" t="s">
        <v>33</v>
      </c>
      <c r="B15" s="211"/>
      <c r="C15" s="521"/>
      <c r="D15" s="523"/>
      <c r="E15" s="1278" t="s">
        <v>34</v>
      </c>
      <c r="F15" s="1880"/>
      <c r="G15" s="190"/>
      <c r="H15" s="883"/>
      <c r="I15" s="524"/>
      <c r="J15" s="989" t="s">
        <v>35</v>
      </c>
      <c r="Q15" s="522">
        <v>0</v>
      </c>
    </row>
    <row s="8248" customFormat="1" customHeight="1" ht="6.3">
      <c r="A16" s="898"/>
      <c r="B16" s="345"/>
      <c r="C16" s="346"/>
      <c r="D16" s="352"/>
      <c r="E16" s="350"/>
      <c r="F16" s="353"/>
      <c r="G16" s="190"/>
      <c r="H16" s="522"/>
      <c r="I16" s="524"/>
      <c r="J16" s="987"/>
      <c r="Q16" s="349">
        <v>6</v>
      </c>
    </row>
    <row customHeight="1" ht="21">
      <c r="D17" s="188"/>
      <c r="E17" s="504" t="s">
        <v>36</v>
      </c>
      <c r="F17" s="2851" t="s">
        <v>37</v>
      </c>
      <c r="G17" s="186"/>
      <c r="H17" s="886" t="s">
        <v>22</v>
      </c>
      <c r="Q17" s="187">
        <v>20</v>
      </c>
    </row>
    <row customHeight="1" ht="25.5">
      <c r="D18" s="188"/>
      <c r="E18" s="1888" t="s">
        <v>38</v>
      </c>
      <c r="F18" s="8294">
        <v>45586</v>
      </c>
      <c r="G18" s="186"/>
      <c r="I18" s="887"/>
      <c r="J18" s="2210" t="s">
        <v>39</v>
      </c>
      <c r="Q18" s="187">
        <v>0</v>
      </c>
    </row>
    <row customHeight="1" ht="25.5">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852">
        <v>45658</v>
      </c>
      <c r="G19" s="186"/>
      <c r="I19" s="887"/>
      <c r="J19" s="2210"/>
      <c r="Q19" s="187">
        <v>0</v>
      </c>
    </row>
    <row customHeight="1" ht="22.5">
      <c r="D20" s="188"/>
      <c r="E20" s="189"/>
      <c r="F20" s="383" t="str">
        <f>"Первичное "&amp;IF(TEMPLATE_GROUP="P","установление тарифов","предложение по тарифам")</f>
        <v>Первичное предложение по тарифам</v>
      </c>
      <c r="G20" s="186"/>
      <c r="I20" s="507"/>
      <c r="J20" s="988" t="s">
        <v>40</v>
      </c>
      <c r="Q20" s="187">
        <v>0</v>
      </c>
    </row>
    <row customHeight="1" ht="19.5">
      <c r="D21" s="188"/>
      <c r="E21" s="504" t="str">
        <f>"Дата "&amp;IF(TEMPLATE_GROUP="P","документа","подачи заявления")&amp;" об утверждении тарифов"</f>
        <v>Дата подачи заявления об утверждении тарифов</v>
      </c>
      <c r="F21" s="2843">
        <v>45044</v>
      </c>
      <c r="G21" s="186"/>
      <c r="I21" s="888"/>
      <c r="Q21" s="187">
        <v>0</v>
      </c>
    </row>
    <row customHeight="1" ht="19.5">
      <c r="D22" s="188"/>
      <c r="E22" s="504" t="str">
        <f>"Номер "&amp;IF(TEMPLATE_GROUP="P","документа","подачи заявления")&amp;" об утверждении тарифов"</f>
        <v>Номер подачи заявления об утверждении тарифов</v>
      </c>
      <c r="F22" s="329" t="s">
        <v>41</v>
      </c>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c r="D26" s="188"/>
      <c r="E26" s="504" t="str">
        <f>"Дата "&amp;IF(TEMPLATE_GROUP="P","принятия решения","подачи заявления")&amp;" об изменении тарифов"</f>
        <v>Дата подачи заявления об изменении тарифов</v>
      </c>
      <c r="F26" s="8294">
        <v>45586</v>
      </c>
      <c r="G26" s="186"/>
      <c r="Q26" s="187">
        <v>0</v>
      </c>
    </row>
    <row customHeight="1" ht="19.5">
      <c r="D27" s="188"/>
      <c r="E27" s="1278" t="str">
        <f>"Номер "&amp;IF(TEMPLATE_GROUP="P","принятия решения","заявления")&amp;" об изменении тарифов"</f>
        <v>Номер заявления об изменении тарифов</v>
      </c>
      <c r="F27" s="2860" t="s">
        <v>45</v>
      </c>
      <c r="G27" s="186"/>
      <c r="Q27" s="187">
        <v>0</v>
      </c>
    </row>
    <row customHeight="1" ht="24.75" hidden="1">
      <c r="D28" s="188"/>
      <c r="E28" s="504" t="s">
        <v>46</v>
      </c>
      <c r="F28" s="331"/>
      <c r="G28" s="186"/>
      <c r="Q28" s="187">
        <v>0</v>
      </c>
    </row>
    <row customHeight="1" ht="19.5" hidden="1">
      <c r="D29" s="188"/>
      <c r="E29" s="504" t="s">
        <v>43</v>
      </c>
      <c r="F29" s="331"/>
      <c r="G29" s="186"/>
      <c r="Q29" s="187">
        <v>0</v>
      </c>
    </row>
    <row s="8248"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47</v>
      </c>
      <c r="G31" s="889"/>
      <c r="Q31" s="187">
        <v>20</v>
      </c>
    </row>
    <row customHeight="1" ht="21" hidden="1">
      <c r="C32" s="191"/>
      <c r="D32" s="192"/>
      <c r="E32" s="505" t="s">
        <v>48</v>
      </c>
      <c r="F32" s="330"/>
      <c r="G32" s="889"/>
      <c r="Q32" s="187">
        <v>20</v>
      </c>
    </row>
    <row customHeight="1" ht="21">
      <c r="C33" s="191"/>
      <c r="D33" s="192"/>
      <c r="E33" s="504" t="s">
        <v>49</v>
      </c>
      <c r="F33" s="330" t="s">
        <v>50</v>
      </c>
      <c r="G33" s="889"/>
      <c r="Q33" s="187">
        <v>20</v>
      </c>
    </row>
    <row customHeight="1" ht="21">
      <c r="C34" s="191"/>
      <c r="D34" s="192"/>
      <c r="E34" s="504" t="s">
        <v>51</v>
      </c>
      <c r="F34" s="330" t="s">
        <v>52</v>
      </c>
      <c r="G34" s="889"/>
      <c r="H34" s="193"/>
      <c r="Q34" s="187">
        <v>20</v>
      </c>
    </row>
    <row s="8248" customFormat="1" customHeight="1" ht="11.549999999999999">
      <c r="A35" s="898"/>
      <c r="B35" s="345"/>
      <c r="C35" s="346"/>
      <c r="D35" s="352"/>
      <c r="E35" s="350"/>
      <c r="F35" s="353"/>
      <c r="G35" s="190"/>
      <c r="H35" s="522"/>
      <c r="I35" s="524"/>
      <c r="J35" s="987"/>
      <c r="Q35" s="349">
        <v>11</v>
      </c>
    </row>
    <row customHeight="1" ht="19.5" hidden="1">
      <c r="A36" s="992"/>
      <c r="D36" s="192"/>
      <c r="E36" s="504" t="s">
        <v>53</v>
      </c>
      <c r="F36" s="461"/>
      <c r="G36" s="190"/>
      <c r="Q36" s="187">
        <v>0</v>
      </c>
    </row>
    <row customHeight="1" ht="21">
      <c r="A37" s="992"/>
      <c r="D37" s="192"/>
      <c r="E37" s="504" t="s">
        <v>54</v>
      </c>
      <c r="F37" s="2870" t="s">
        <v>55</v>
      </c>
      <c r="G37" s="190"/>
      <c r="Q37" s="187">
        <v>20</v>
      </c>
    </row>
    <row s="8248" customFormat="1" customHeight="1" ht="6.3">
      <c r="A38" s="898"/>
      <c r="B38" s="345"/>
      <c r="C38" s="346"/>
      <c r="D38" s="347"/>
      <c r="E38" s="348"/>
      <c r="F38" s="1166"/>
      <c r="G38" s="186"/>
      <c r="H38" s="522"/>
      <c r="I38" s="524"/>
      <c r="J38" s="989"/>
      <c r="Q38" s="349">
        <v>6</v>
      </c>
    </row>
    <row customHeight="1" ht="36.75">
      <c r="A39" s="898"/>
      <c r="D39" s="188"/>
      <c r="E39" s="504" t="s">
        <v>56</v>
      </c>
      <c r="F39" s="823" t="s">
        <v>19</v>
      </c>
      <c r="G39" s="186"/>
      <c r="H39" s="886" t="s">
        <v>22</v>
      </c>
      <c r="Q39" s="187">
        <v>35</v>
      </c>
    </row>
    <row s="8248" customFormat="1" customHeight="1" ht="6" hidden="1">
      <c r="A40" s="897"/>
      <c r="B40" s="539"/>
      <c r="C40" s="540"/>
      <c r="D40" s="541"/>
      <c r="E40" s="542"/>
      <c r="F40" s="1166"/>
      <c r="G40" s="186"/>
      <c r="H40" s="522"/>
      <c r="I40" s="524"/>
      <c r="J40" s="989"/>
      <c r="Q40" s="543">
        <v>6</v>
      </c>
    </row>
    <row s="8273"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823" t="s">
        <v>19</v>
      </c>
      <c r="G41" s="186"/>
      <c r="I41" s="524"/>
      <c r="J41" s="989"/>
      <c r="Q41" s="522">
        <v>0</v>
      </c>
    </row>
    <row s="8248" customFormat="1" customHeight="1" ht="6" hidden="1">
      <c r="A42" s="897"/>
      <c r="B42" s="539"/>
      <c r="C42" s="540"/>
      <c r="D42" s="541"/>
      <c r="E42" s="542"/>
      <c r="F42" s="1166"/>
      <c r="G42" s="186"/>
      <c r="H42" s="522"/>
      <c r="I42" s="524"/>
      <c r="J42" s="987"/>
      <c r="Q42" s="543">
        <v>0</v>
      </c>
    </row>
    <row s="8273" customFormat="1" customHeight="1" ht="27" hidden="1">
      <c r="A43" s="897"/>
      <c r="B43" s="526"/>
      <c r="C43" s="521"/>
      <c r="D43" s="523"/>
      <c r="E43" s="504" t="s">
        <v>57</v>
      </c>
      <c r="F43" s="823" t="s">
        <v>19</v>
      </c>
      <c r="G43" s="186"/>
      <c r="I43" s="524"/>
      <c r="J43" s="989"/>
      <c r="Q43" s="522">
        <v>0</v>
      </c>
    </row>
    <row s="8273" customFormat="1" customHeight="1" ht="27" hidden="1">
      <c r="A44" s="897"/>
      <c r="B44" s="526"/>
      <c r="C44" s="521"/>
      <c r="D44" s="523"/>
      <c r="E44" s="1278" t="s">
        <v>58</v>
      </c>
      <c r="F44" s="2001"/>
      <c r="G44" s="186"/>
      <c r="I44" s="524"/>
      <c r="J44" s="989"/>
      <c r="Q44" s="522">
        <v>0</v>
      </c>
    </row>
    <row s="8248" customFormat="1" customHeight="1" ht="6" hidden="1">
      <c r="A45" s="897"/>
      <c r="B45" s="539"/>
      <c r="C45" s="540"/>
      <c r="D45" s="541"/>
      <c r="E45" s="542"/>
      <c r="F45" s="1166"/>
      <c r="G45" s="186"/>
      <c r="H45" s="522"/>
      <c r="I45" s="524"/>
      <c r="J45" s="989"/>
      <c r="Q45" s="543">
        <v>0</v>
      </c>
    </row>
    <row s="8248" customFormat="1" customHeight="1" ht="24.75" hidden="1">
      <c r="A46" s="897"/>
      <c r="B46" s="539"/>
      <c r="C46" s="540"/>
      <c r="D46" s="541"/>
      <c r="E46" s="1278" t="s">
        <v>59</v>
      </c>
      <c r="F46" s="823" t="s">
        <v>19</v>
      </c>
      <c r="G46" s="186"/>
      <c r="H46" s="522"/>
      <c r="I46" s="524"/>
      <c r="J46" s="989"/>
      <c r="Q46" s="543">
        <v>0</v>
      </c>
    </row>
    <row s="8273" customFormat="1" customHeight="1" ht="24.75" hidden="1">
      <c r="A47" s="897"/>
      <c r="B47" s="526"/>
      <c r="C47" s="521"/>
      <c r="D47" s="523"/>
      <c r="E47" s="1278" t="s">
        <v>60</v>
      </c>
      <c r="F47" s="823" t="s">
        <v>19</v>
      </c>
      <c r="G47" s="186"/>
      <c r="I47" s="524"/>
      <c r="J47" s="989"/>
      <c r="Q47" s="522">
        <v>0</v>
      </c>
    </row>
    <row s="8248"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823"/>
      <c r="G49" s="186"/>
      <c r="Q49" s="187">
        <v>0</v>
      </c>
    </row>
    <row s="8248" customFormat="1" customHeight="1" ht="6" hidden="1">
      <c r="A50" s="898"/>
      <c r="B50" s="539"/>
      <c r="C50" s="540"/>
      <c r="D50" s="352"/>
      <c r="E50" s="350"/>
      <c r="F50" s="353"/>
      <c r="G50" s="190"/>
      <c r="H50" s="522"/>
      <c r="I50" s="524"/>
      <c r="J50" s="989"/>
      <c r="Q50" s="543">
        <v>0</v>
      </c>
    </row>
    <row s="8273" customFormat="1" customHeight="1" ht="28.5" hidden="1">
      <c r="A51" s="899"/>
      <c r="B51" s="526"/>
      <c r="C51" s="643"/>
      <c r="D51" s="644"/>
      <c r="E51" s="504" t="s">
        <v>61</v>
      </c>
      <c r="F51" s="823" t="s">
        <v>19</v>
      </c>
      <c r="G51" s="645"/>
      <c r="I51" s="647"/>
      <c r="J51" s="991"/>
      <c r="P51" s="648"/>
      <c r="Q51" s="646">
        <v>0</v>
      </c>
    </row>
    <row s="8248" customFormat="1" customHeight="1" ht="6" hidden="1">
      <c r="A52" s="898"/>
      <c r="B52" s="539"/>
      <c r="C52" s="540"/>
      <c r="D52" s="352"/>
      <c r="E52" s="350"/>
      <c r="F52" s="353"/>
      <c r="G52" s="190"/>
      <c r="H52" s="522"/>
      <c r="I52" s="524"/>
      <c r="J52" s="987"/>
      <c r="Q52" s="543">
        <v>0</v>
      </c>
    </row>
    <row s="8273" customFormat="1" customHeight="1" ht="27" hidden="1">
      <c r="A53" s="899"/>
      <c r="B53" s="526"/>
      <c r="C53" s="643"/>
      <c r="D53" s="644"/>
      <c r="E53" s="504" t="s">
        <v>62</v>
      </c>
      <c r="F53" s="1161" t="s">
        <v>19</v>
      </c>
      <c r="G53" s="645"/>
      <c r="I53" s="647"/>
      <c r="J53" s="991"/>
      <c r="P53" s="648"/>
      <c r="Q53" s="646">
        <v>0</v>
      </c>
    </row>
    <row s="8273" customFormat="1" customHeight="1" ht="27" hidden="1">
      <c r="A54" s="899"/>
      <c r="B54" s="526"/>
      <c r="C54" s="643"/>
      <c r="D54" s="644"/>
      <c r="E54" s="504" t="s">
        <v>63</v>
      </c>
      <c r="F54" s="1887"/>
      <c r="G54" s="645"/>
      <c r="I54" s="647"/>
      <c r="J54" s="991"/>
      <c r="P54" s="648"/>
      <c r="Q54" s="646">
        <v>0</v>
      </c>
    </row>
    <row s="8248" customFormat="1" customHeight="1" ht="6" hidden="1">
      <c r="A55" s="898"/>
      <c r="B55" s="539"/>
      <c r="C55" s="540"/>
      <c r="D55" s="352"/>
      <c r="E55" s="350"/>
      <c r="F55" s="353"/>
      <c r="G55" s="190"/>
      <c r="H55" s="522"/>
      <c r="I55" s="524"/>
      <c r="J55" s="987"/>
      <c r="Q55" s="543">
        <v>0</v>
      </c>
    </row>
    <row s="8273" customFormat="1" customHeight="1" ht="25.5" hidden="1">
      <c r="A56" s="899"/>
      <c r="B56" s="526"/>
      <c r="C56" s="643"/>
      <c r="D56" s="644"/>
      <c r="E56" s="504" t="s">
        <v>64</v>
      </c>
      <c r="F56" s="1161" t="s">
        <v>19</v>
      </c>
      <c r="G56" s="645"/>
      <c r="I56" s="647"/>
      <c r="J56" s="991"/>
      <c r="P56" s="648"/>
      <c r="Q56" s="646">
        <v>0</v>
      </c>
    </row>
    <row s="8248" customFormat="1" customHeight="1" ht="6" hidden="1">
      <c r="A57" s="898"/>
      <c r="B57" s="539"/>
      <c r="C57" s="540"/>
      <c r="D57" s="352"/>
      <c r="E57" s="350"/>
      <c r="F57" s="353"/>
      <c r="G57" s="190"/>
      <c r="H57" s="522"/>
      <c r="I57" s="524"/>
      <c r="J57" s="987"/>
      <c r="Q57" s="543">
        <v>0</v>
      </c>
    </row>
    <row s="8273" customFormat="1" customHeight="1" ht="15" hidden="1">
      <c r="A58" s="899"/>
      <c r="B58" s="526"/>
      <c r="C58" s="643"/>
      <c r="D58" s="644"/>
      <c r="E58" s="504" t="s">
        <v>65</v>
      </c>
      <c r="F58" s="1161" t="s">
        <v>66</v>
      </c>
      <c r="G58" s="645"/>
      <c r="I58" s="647"/>
      <c r="J58" s="991"/>
      <c r="P58" s="648"/>
      <c r="Q58" s="646">
        <v>0</v>
      </c>
    </row>
    <row s="8273"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302"/>
      <c r="G59" s="645"/>
      <c r="I59" s="647"/>
      <c r="J59" s="991"/>
      <c r="P59" s="648"/>
      <c r="Q59" s="646">
        <v>0</v>
      </c>
    </row>
    <row s="8273" customFormat="1" customHeight="1" ht="15" hidden="1">
      <c r="A60" s="899"/>
      <c r="B60" s="526"/>
      <c r="C60" s="643"/>
      <c r="D60" s="644"/>
      <c r="E60" s="1278" t="s">
        <v>67</v>
      </c>
      <c r="F60" s="1264"/>
      <c r="G60" s="645"/>
      <c r="I60" s="647"/>
      <c r="J60" s="991"/>
      <c r="P60" s="648"/>
      <c r="Q60" s="646">
        <v>0</v>
      </c>
    </row>
    <row s="8248" customFormat="1" customHeight="1" ht="6" hidden="1">
      <c r="A61" s="898"/>
      <c r="B61" s="539"/>
      <c r="C61" s="540"/>
      <c r="D61" s="541"/>
      <c r="E61" s="542"/>
      <c r="F61" s="1166"/>
      <c r="G61" s="186"/>
      <c r="H61" s="522"/>
      <c r="I61" s="524"/>
      <c r="J61" s="989"/>
      <c r="Q61" s="543">
        <v>0</v>
      </c>
    </row>
    <row s="8273" customFormat="1" customHeight="1" ht="33.75" hidden="1">
      <c r="A62" s="898"/>
      <c r="B62" s="211"/>
      <c r="C62" s="521"/>
      <c r="D62" s="523"/>
      <c r="E62" s="1278" t="s">
        <v>68</v>
      </c>
      <c r="F62" s="1784" t="s">
        <v>66</v>
      </c>
      <c r="G62" s="186"/>
      <c r="H62" s="886" t="s">
        <v>22</v>
      </c>
      <c r="I62" s="524"/>
      <c r="J62" s="989"/>
      <c r="Q62" s="522">
        <v>0</v>
      </c>
    </row>
    <row s="8248" customFormat="1" customHeight="1" ht="6.3">
      <c r="A63" s="898"/>
      <c r="B63" s="345"/>
      <c r="C63" s="346"/>
      <c r="D63" s="352"/>
      <c r="E63" s="350"/>
      <c r="F63" s="353"/>
      <c r="G63" s="190"/>
      <c r="H63" s="522"/>
      <c r="I63" s="524"/>
      <c r="J63" s="987"/>
      <c r="Q63" s="349">
        <v>6</v>
      </c>
    </row>
    <row customHeight="1" ht="21">
      <c r="A64" s="900"/>
      <c r="B64" s="212"/>
      <c r="D64" s="195"/>
      <c r="E64" s="504" t="s">
        <v>69</v>
      </c>
      <c r="F64" s="329" t="s">
        <v>70</v>
      </c>
      <c r="G64" s="190"/>
      <c r="Q64" s="187">
        <v>20</v>
      </c>
    </row>
    <row customHeight="1" ht="21">
      <c r="A65" s="900"/>
      <c r="B65" s="212"/>
      <c r="D65" s="195"/>
      <c r="E65" s="504" t="s">
        <v>71</v>
      </c>
      <c r="F65" s="329" t="s">
        <v>72</v>
      </c>
      <c r="G65" s="190"/>
      <c r="Q65" s="187">
        <v>20</v>
      </c>
    </row>
    <row customHeight="1" ht="36.75">
      <c r="D66" s="188"/>
      <c r="E66" s="506" t="s">
        <v>73</v>
      </c>
      <c r="F66" s="1167"/>
      <c r="G66" s="186"/>
      <c r="Q66" s="187">
        <v>35</v>
      </c>
    </row>
    <row customHeight="1" ht="21">
      <c r="A67" s="900"/>
      <c r="D67" s="523"/>
      <c r="E67" s="504" t="s">
        <v>74</v>
      </c>
      <c r="F67" s="384" t="s">
        <v>75</v>
      </c>
      <c r="G67" s="190"/>
      <c r="Q67" s="187">
        <v>20</v>
      </c>
    </row>
    <row customHeight="1" ht="21">
      <c r="A68" s="900"/>
      <c r="B68" s="212"/>
      <c r="D68" s="195"/>
      <c r="E68" s="504" t="s">
        <v>76</v>
      </c>
      <c r="F68" s="384" t="s">
        <v>77</v>
      </c>
      <c r="G68" s="190"/>
      <c r="Q68" s="187">
        <v>20</v>
      </c>
    </row>
    <row customHeight="1" ht="21">
      <c r="A69" s="900"/>
      <c r="B69" s="212"/>
      <c r="D69" s="195"/>
      <c r="E69" s="504" t="s">
        <v>78</v>
      </c>
      <c r="F69" s="384" t="s">
        <v>79</v>
      </c>
      <c r="G69" s="190"/>
      <c r="Q69" s="187">
        <v>20</v>
      </c>
    </row>
    <row customHeight="1" ht="21">
      <c r="D70" s="523"/>
      <c r="E70" s="504" t="s">
        <v>80</v>
      </c>
      <c r="F70" s="2898" t="s">
        <v>81</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82</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1836B9B-7E8A-A49E-F4AC-2CCCDD1685BB}"/>
    <hyperlink ref="H17" location="Титульный!H9" display="Как заполнить?" tooltip="Помощь по работе с полями отчётной формы" xr:uid="{CDAECD85-F20E-0F8F-DF52-371A9B72946E}"/>
    <hyperlink ref="H39" location="Титульный!H9" display="Как заполнить?" tooltip="Помощь по работе с полями отчётной формы" xr:uid="{196FC6D6-C5D6-B6E8-0178-8F96F4E5819E}"/>
    <hyperlink ref="H62" location="Титульный!H9" display="Как заполнить?" tooltip="Помощь по работе с полями отчётной формы" xr:uid="{C155F3A1-1F31-C2E8-1554-0E6B1546C1E1}"/>
    <hyperlink ref="F70" r:id="rId4" xr:uid="{ABE1C4D8-6A07-F1BE-5001-6885C8C763F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52ACD-3DB3-E9FD-F4AE-6DDB463A757F}" mc:Ignorable="x14ac xr xr2 xr3">
  <sheetPr>
    <tabColor rgb="FFCCCCFF"/>
    <pageSetUpPr fitToPage="1"/>
  </sheetPr>
  <dimension ref="A1:AC77"/>
  <sheetViews>
    <sheetView topLeftCell="A1" showGridLines="0" zoomScale="90" workbookViewId="0">
      <selection activeCell="G60" sqref="G60"/>
    </sheetView>
  </sheetViews>
  <sheetFormatPr defaultColWidth="9.140625" customHeight="1" defaultRowHeight="14.25"/>
  <cols>
    <col min="1" max="1" style="8273" width="8.00390625" hidden="1" customWidth="1"/>
    <col min="2" max="2" style="8354" width="6.00390625" hidden="1" customWidth="1"/>
    <col min="3" max="3" style="8273" width="3.00390625" customWidth="1"/>
    <col min="4" max="4" style="8453" width="3.00390625" customWidth="1"/>
    <col min="5" max="5" style="8273" width="6.00390625" customWidth="1"/>
    <col min="6" max="6" style="8273" width="2.7109375" hidden="1" customWidth="1"/>
    <col min="7" max="7" style="8273" width="46.7109375" customWidth="1"/>
    <col min="8" max="8" style="8273" width="42.00390625" customWidth="1"/>
    <col min="9" max="9" style="8273" width="14.00390625" customWidth="1"/>
    <col min="10" max="10" style="8454" width="3.00390625" customWidth="1"/>
    <col min="11" max="13" style="8454" width="9.140625" hidden="1"/>
    <col min="14" max="14" style="8454" width="25.7109375" hidden="1" customWidth="1"/>
    <col min="15" max="15" style="8454" width="14.421875" hidden="1" customWidth="1"/>
    <col min="16" max="19" style="8455" width="9.140625" hidden="1"/>
    <col min="20" max="27" style="8273" width="9.140625" hidden="1"/>
    <col min="28" max="28" style="8273" width="8.00390625" customWidth="1"/>
    <col min="29" max="29" style="8273" width="9.140625" hidden="1"/>
  </cols>
  <sheetData>
    <row s="8355" customFormat="1" customHeight="1" ht="5.25" hidden="1">
      <c r="A1" s="609"/>
      <c r="B1" s="624"/>
      <c r="C1" s="624"/>
      <c r="D1" s="334"/>
      <c r="F1" s="624"/>
      <c r="G1" s="360" t="s">
        <v>83</v>
      </c>
      <c r="H1" s="607" t="s">
        <v>84</v>
      </c>
      <c r="I1" s="340" t="s">
        <v>85</v>
      </c>
      <c r="J1" s="360" t="s">
        <v>83</v>
      </c>
      <c r="K1" s="360"/>
      <c r="L1" s="360"/>
      <c r="M1" s="360"/>
      <c r="N1" s="361"/>
      <c r="O1" s="360"/>
      <c r="P1" s="360"/>
      <c r="Q1" s="360"/>
      <c r="R1" s="360"/>
      <c r="S1" s="360"/>
      <c r="T1" s="340"/>
      <c r="U1" s="340"/>
      <c r="V1" s="340"/>
      <c r="W1" s="340"/>
      <c r="X1" s="340"/>
      <c r="Y1" s="340"/>
      <c r="Z1" s="340"/>
      <c r="AA1" s="340"/>
      <c r="AB1" s="340"/>
      <c r="AC1" s="265" t="s">
        <v>14</v>
      </c>
    </row>
    <row s="8364"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8370" customFormat="1" customHeight="1" ht="3">
      <c r="A3" s="871"/>
      <c r="B3" s="530"/>
      <c r="C3" s="871"/>
      <c r="D3" s="277"/>
      <c r="E3" s="216"/>
      <c r="F3" s="622"/>
      <c r="G3" s="216"/>
      <c r="H3" s="216"/>
      <c r="I3" s="279"/>
      <c r="J3" s="360"/>
      <c r="K3" s="268"/>
      <c r="L3" s="268"/>
      <c r="M3" s="268"/>
      <c r="N3" s="339"/>
      <c r="O3" s="268"/>
      <c r="P3" s="338"/>
      <c r="Q3" s="338"/>
      <c r="R3" s="338"/>
      <c r="S3" s="338"/>
      <c r="AC3" s="229">
        <v>3</v>
      </c>
    </row>
    <row s="8370"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8370" customFormat="1" customHeight="1" ht="3">
      <c r="A5" s="871"/>
      <c r="B5" s="530"/>
      <c r="C5" s="871"/>
      <c r="D5" s="277"/>
      <c r="E5" s="216"/>
      <c r="F5" s="622"/>
      <c r="G5" s="280"/>
      <c r="H5" s="280"/>
      <c r="I5" s="281"/>
      <c r="J5" s="268"/>
      <c r="K5" s="268"/>
      <c r="L5" s="268"/>
      <c r="M5" s="268"/>
      <c r="N5" s="339"/>
      <c r="O5" s="268"/>
      <c r="P5" s="338"/>
      <c r="Q5" s="338"/>
      <c r="R5" s="338"/>
      <c r="S5" s="338"/>
      <c r="AC5" s="229">
        <v>3</v>
      </c>
    </row>
    <row s="8370"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8370" customFormat="1" customHeight="1" ht="14.699999999999998">
      <c r="A8" s="871"/>
      <c r="B8" s="530"/>
      <c r="C8" s="871"/>
      <c r="D8" s="277"/>
      <c r="E8" s="2214" t="s">
        <v>86</v>
      </c>
      <c r="F8" s="2215"/>
      <c r="G8" s="2216"/>
      <c r="H8" s="2217" t="s">
        <v>87</v>
      </c>
      <c r="I8" s="2217"/>
      <c r="J8" s="268"/>
      <c r="K8" s="268"/>
      <c r="L8" s="268"/>
      <c r="M8" s="268"/>
      <c r="N8" s="339"/>
      <c r="O8" s="268"/>
      <c r="P8" s="338"/>
      <c r="Q8" s="338"/>
      <c r="R8" s="338"/>
      <c r="S8" s="338"/>
      <c r="AC8" s="229">
        <v>14</v>
      </c>
    </row>
    <row s="8370" customFormat="1" customHeight="1" ht="21">
      <c r="A9" s="871"/>
      <c r="B9" s="530"/>
      <c r="C9" s="871"/>
      <c r="D9" s="277"/>
      <c r="E9" s="890" t="s">
        <v>88</v>
      </c>
      <c r="F9" s="890"/>
      <c r="G9" s="285" t="s">
        <v>89</v>
      </c>
      <c r="H9" s="285" t="s">
        <v>89</v>
      </c>
      <c r="I9" s="285" t="s">
        <v>85</v>
      </c>
      <c r="J9" s="268"/>
      <c r="K9" s="268"/>
      <c r="L9" s="268"/>
      <c r="M9" s="268"/>
      <c r="N9" s="339"/>
      <c r="O9" s="268"/>
      <c r="P9" s="338"/>
      <c r="Q9" s="338"/>
      <c r="R9" s="338"/>
      <c r="S9" s="338"/>
      <c r="AC9" s="229">
        <v>20</v>
      </c>
    </row>
    <row customHeight="1" ht="11.549999999999999">
      <c r="D10" s="289"/>
      <c r="E10" s="891" t="s">
        <v>90</v>
      </c>
      <c r="F10" s="891"/>
      <c r="G10" s="336" t="s">
        <v>91</v>
      </c>
      <c r="H10" s="336" t="s">
        <v>92</v>
      </c>
      <c r="I10" s="336" t="s">
        <v>93</v>
      </c>
      <c r="J10" s="299"/>
      <c r="K10" s="299"/>
      <c r="L10" s="299"/>
      <c r="M10" s="299"/>
      <c r="N10" s="284"/>
      <c r="O10" s="299"/>
      <c r="P10" s="337"/>
      <c r="Q10" s="337"/>
      <c r="R10" s="337"/>
      <c r="S10" s="337"/>
      <c r="AC10" s="196">
        <v>11</v>
      </c>
    </row>
    <row s="8370" customFormat="1" customHeight="1" ht="1.05">
      <c r="A11" s="871"/>
      <c r="B11" s="530"/>
      <c r="C11" s="871"/>
      <c r="D11" s="277"/>
      <c r="E11" s="903"/>
      <c r="F11" s="903"/>
      <c r="G11" s="286"/>
      <c r="H11" s="286"/>
      <c r="I11" s="288"/>
      <c r="J11" s="362" t="s">
        <v>94</v>
      </c>
      <c r="K11" s="268"/>
      <c r="L11" s="268"/>
      <c r="M11" s="268" t="s">
        <v>95</v>
      </c>
      <c r="N11" s="339" t="s">
        <v>96</v>
      </c>
      <c r="O11" s="268" t="s">
        <v>97</v>
      </c>
      <c r="P11" s="338"/>
      <c r="Q11" s="338"/>
      <c r="R11" s="338"/>
      <c r="S11" s="338"/>
      <c r="AC11" s="229">
        <v>1</v>
      </c>
    </row>
    <row s="8370" customFormat="1" customHeight="1" ht="15">
      <c r="A12" s="2212">
        <v>1</v>
      </c>
      <c r="B12" s="530"/>
      <c r="C12" s="871"/>
      <c r="D12" s="895"/>
      <c r="E12" s="332">
        <f>A12</f>
        <v>1</v>
      </c>
      <c r="F12" s="915" t="s">
        <v>98</v>
      </c>
      <c r="G12" s="653" t="str">
        <f>"Территория "&amp;E12</f>
        <v>Территория 1</v>
      </c>
      <c r="H12" s="905"/>
      <c r="I12" s="905"/>
      <c r="J12" s="902"/>
      <c r="K12" s="613"/>
      <c r="L12" s="613"/>
      <c r="M12" s="613"/>
      <c r="N12" s="339"/>
      <c r="O12" s="613"/>
      <c r="P12" s="338"/>
      <c r="Q12" s="338"/>
      <c r="R12" s="338"/>
      <c r="S12" s="338"/>
      <c r="AC12" s="620">
        <v>14</v>
      </c>
    </row>
    <row s="8415" customFormat="1" customHeight="1" ht="15.75">
      <c r="A13" s="2212"/>
      <c r="B13" s="530">
        <v>1</v>
      </c>
      <c r="C13" s="530"/>
      <c r="D13" s="913"/>
      <c r="E13" s="893" t="str">
        <f>A12&amp;"."&amp;B13</f>
        <v>1.1</v>
      </c>
      <c r="F13" s="908" t="s">
        <v>99</v>
      </c>
      <c r="G13" s="906" t="s">
        <v>100</v>
      </c>
      <c r="H13" s="906" t="s">
        <v>101</v>
      </c>
      <c r="I13" s="904" t="s">
        <v>102</v>
      </c>
      <c r="J13" s="613">
        <f>MERGEVALUE(G13)</f>
      </c>
      <c r="K13" s="624"/>
      <c r="L13" s="624"/>
      <c r="M13" s="613" t="str">
        <f t="array" ref="M13:M13">IF(ISERROR(MATCH(MID(N13,1,250),MID(note_ter,1,250),0)),"n","y")</f>
        <v>n</v>
      </c>
      <c r="N13" s="624"/>
      <c r="O13" s="613" t="str">
        <f>H13&amp;"("&amp;I13&amp;")"</f>
        <v>Бесединский сельсовет(38620408)</v>
      </c>
      <c r="P13" s="530"/>
      <c r="Q13" s="530"/>
      <c r="R13" s="533"/>
      <c r="S13" s="530"/>
      <c r="T13" s="530"/>
      <c r="U13" s="530"/>
      <c r="V13" s="535"/>
      <c r="W13" s="535"/>
      <c r="X13" s="532"/>
      <c r="Y13" s="532"/>
      <c r="Z13" s="532"/>
      <c r="AA13" s="532"/>
      <c r="AB13" s="532"/>
      <c r="AC13" s="536">
        <v>15</v>
      </c>
    </row>
    <row s="8415" customFormat="1" customHeight="1" ht="15.75">
      <c r="A14" s="2212"/>
      <c r="B14" s="530"/>
      <c r="C14" s="525"/>
      <c r="D14" s="914"/>
      <c r="E14" s="534"/>
      <c r="F14" s="290"/>
      <c r="G14" s="528" t="s">
        <v>103</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customHeight="1" ht="15">
      <c r="A15" s="2330" t="s">
        <v>104</v>
      </c>
      <c r="B15" s="1273"/>
      <c r="C15" s="914" t="s">
        <v>105</v>
      </c>
      <c r="D15" s="1931"/>
      <c r="E15" s="1918" t="str">
        <f>A15</f>
        <v>2</v>
      </c>
      <c r="F15" s="917" t="s">
        <v>106</v>
      </c>
      <c r="G15" s="653" t="str">
        <f>"Территория "&amp;E15</f>
        <v>Территория 2</v>
      </c>
      <c r="H15" s="905"/>
      <c r="I15" s="905"/>
      <c r="J15" s="902"/>
      <c r="K15" s="1737"/>
      <c r="L15" s="1737"/>
      <c r="M15" s="1737"/>
      <c r="N15" s="339"/>
      <c r="O15" s="1737"/>
      <c r="P15" s="338"/>
      <c r="Q15" s="338"/>
      <c r="R15" s="338"/>
      <c r="S15" s="338"/>
      <c r="T15" s="2992"/>
      <c r="U15" s="2992"/>
      <c r="V15" s="2992"/>
      <c r="W15" s="2992"/>
      <c r="X15" s="2992"/>
      <c r="Y15" s="2992"/>
      <c r="Z15" s="2992"/>
      <c r="AA15" s="2992"/>
      <c r="AB15" s="2992"/>
      <c r="AC15" s="2992"/>
    </row>
    <row customHeight="1" ht="15">
      <c r="A16" s="2330"/>
      <c r="B16" s="1273">
        <v>1</v>
      </c>
      <c r="C16" s="1273"/>
      <c r="D16" s="913"/>
      <c r="E16" s="1926" t="str">
        <f>A15&amp;"."&amp;B16</f>
        <v>2.1</v>
      </c>
      <c r="F16" s="916" t="s">
        <v>107</v>
      </c>
      <c r="G16" s="906" t="s">
        <v>100</v>
      </c>
      <c r="H16" s="906" t="s">
        <v>108</v>
      </c>
      <c r="I16" s="904" t="s">
        <v>109</v>
      </c>
      <c r="J16" s="1737"/>
      <c r="K16" s="1749"/>
      <c r="L16" s="1749"/>
      <c r="M16" s="1737" t="str">
        <f t="array" ref="M16:M16">IF(ISERROR(MATCH(MID(N16,1,250),MID(note_ter,1,250),0)),"n","y")</f>
        <v>n</v>
      </c>
      <c r="N16" s="1749"/>
      <c r="O16" s="1737" t="str">
        <f>H16&amp;"("&amp;I16&amp;")"</f>
        <v>Брежневский сельсовет(38620412)</v>
      </c>
      <c r="P16" s="1273"/>
      <c r="Q16" s="1273"/>
      <c r="R16" s="533"/>
      <c r="S16" s="1273"/>
      <c r="T16" s="1273"/>
      <c r="U16" s="1273"/>
      <c r="V16" s="535"/>
      <c r="W16" s="535"/>
      <c r="X16" s="532"/>
      <c r="Y16" s="532"/>
      <c r="Z16" s="532"/>
      <c r="AA16" s="532"/>
      <c r="AB16" s="532"/>
      <c r="AC16" s="532"/>
    </row>
    <row customHeight="1" ht="15">
      <c r="A17" s="2330"/>
      <c r="B17" s="1273"/>
      <c r="C17" s="525"/>
      <c r="D17" s="914"/>
      <c r="E17" s="534"/>
      <c r="F17" s="290"/>
      <c r="G17" s="528" t="s">
        <v>103</v>
      </c>
      <c r="H17" s="300"/>
      <c r="I17" s="537"/>
      <c r="J17" s="1749"/>
      <c r="K17" s="1749"/>
      <c r="L17" s="1749"/>
      <c r="M17" s="1749"/>
      <c r="N17" s="1737"/>
      <c r="O17" s="1749"/>
      <c r="P17" s="1273"/>
      <c r="Q17" s="1273"/>
      <c r="R17" s="533"/>
      <c r="S17" s="1273"/>
      <c r="T17" s="1273"/>
      <c r="U17" s="1273"/>
      <c r="V17" s="535"/>
      <c r="W17" s="535"/>
      <c r="X17" s="532"/>
      <c r="Y17" s="532"/>
      <c r="Z17" s="532"/>
      <c r="AA17" s="532"/>
      <c r="AB17" s="532"/>
      <c r="AC17" s="532"/>
    </row>
    <row customHeight="1" ht="15">
      <c r="A18" s="2330" t="s">
        <v>90</v>
      </c>
      <c r="B18" s="1273"/>
      <c r="C18" s="914" t="s">
        <v>105</v>
      </c>
      <c r="D18" s="1931"/>
      <c r="E18" s="1918" t="str">
        <f>A18</f>
        <v>3</v>
      </c>
      <c r="F18" s="917" t="s">
        <v>110</v>
      </c>
      <c r="G18" s="653" t="str">
        <f>"Территория "&amp;E18</f>
        <v>Территория 3</v>
      </c>
      <c r="H18" s="905"/>
      <c r="I18" s="905"/>
      <c r="J18" s="902"/>
      <c r="K18" s="1737"/>
      <c r="L18" s="1737"/>
      <c r="M18" s="1737"/>
      <c r="N18" s="339"/>
      <c r="O18" s="1737"/>
      <c r="P18" s="338"/>
      <c r="Q18" s="338"/>
      <c r="R18" s="338"/>
      <c r="S18" s="338"/>
      <c r="T18" s="2992"/>
      <c r="U18" s="2992"/>
      <c r="V18" s="2992"/>
      <c r="W18" s="2992"/>
      <c r="X18" s="2992"/>
      <c r="Y18" s="2992"/>
      <c r="Z18" s="2992"/>
      <c r="AA18" s="2992"/>
      <c r="AB18" s="2992"/>
      <c r="AC18" s="2992"/>
    </row>
    <row customHeight="1" ht="15">
      <c r="A19" s="2330"/>
      <c r="B19" s="1273">
        <v>1</v>
      </c>
      <c r="C19" s="1273"/>
      <c r="D19" s="913"/>
      <c r="E19" s="1926" t="str">
        <f>A18&amp;"."&amp;B19</f>
        <v>3.1</v>
      </c>
      <c r="F19" s="916" t="s">
        <v>111</v>
      </c>
      <c r="G19" s="906" t="s">
        <v>100</v>
      </c>
      <c r="H19" s="906" t="s">
        <v>112</v>
      </c>
      <c r="I19" s="904" t="s">
        <v>113</v>
      </c>
      <c r="J19" s="1737"/>
      <c r="K19" s="1749"/>
      <c r="L19" s="1749"/>
      <c r="M19" s="1737" t="str">
        <f t="array" ref="M19:M19">IF(ISERROR(MATCH(MID(N19,1,250),MID(note_ter,1,250),0)),"n","y")</f>
        <v>n</v>
      </c>
      <c r="N19" s="1749"/>
      <c r="O19" s="1737" t="str">
        <f>H19&amp;"("&amp;I19&amp;")"</f>
        <v>Винниковский сельсовет(38620420)</v>
      </c>
      <c r="P19" s="1273"/>
      <c r="Q19" s="1273"/>
      <c r="R19" s="533"/>
      <c r="S19" s="1273"/>
      <c r="T19" s="1273"/>
      <c r="U19" s="1273"/>
      <c r="V19" s="535"/>
      <c r="W19" s="535"/>
      <c r="X19" s="532"/>
      <c r="Y19" s="532"/>
      <c r="Z19" s="532"/>
      <c r="AA19" s="532"/>
      <c r="AB19" s="532"/>
      <c r="AC19" s="532"/>
    </row>
    <row customHeight="1" ht="15">
      <c r="A20" s="2330"/>
      <c r="B20" s="1273"/>
      <c r="C20" s="525"/>
      <c r="D20" s="914"/>
      <c r="E20" s="534"/>
      <c r="F20" s="290"/>
      <c r="G20" s="528" t="s">
        <v>103</v>
      </c>
      <c r="H20" s="300"/>
      <c r="I20" s="537"/>
      <c r="J20" s="1749"/>
      <c r="K20" s="1749"/>
      <c r="L20" s="1749"/>
      <c r="M20" s="1749"/>
      <c r="N20" s="1737"/>
      <c r="O20" s="1749"/>
      <c r="P20" s="1273"/>
      <c r="Q20" s="1273"/>
      <c r="R20" s="533"/>
      <c r="S20" s="1273"/>
      <c r="T20" s="1273"/>
      <c r="U20" s="1273"/>
      <c r="V20" s="535"/>
      <c r="W20" s="535"/>
      <c r="X20" s="532"/>
      <c r="Y20" s="532"/>
      <c r="Z20" s="532"/>
      <c r="AA20" s="532"/>
      <c r="AB20" s="532"/>
      <c r="AC20" s="532"/>
    </row>
    <row customHeight="1" ht="15">
      <c r="A21" s="2330" t="s">
        <v>91</v>
      </c>
      <c r="B21" s="1273"/>
      <c r="C21" s="914" t="s">
        <v>105</v>
      </c>
      <c r="D21" s="1931"/>
      <c r="E21" s="1918" t="str">
        <f>A21</f>
        <v>4</v>
      </c>
      <c r="F21" s="917" t="s">
        <v>114</v>
      </c>
      <c r="G21" s="653" t="str">
        <f>"Территория "&amp;E21</f>
        <v>Территория 4</v>
      </c>
      <c r="H21" s="905"/>
      <c r="I21" s="905"/>
      <c r="J21" s="902"/>
      <c r="K21" s="1737"/>
      <c r="L21" s="1737"/>
      <c r="M21" s="1737"/>
      <c r="N21" s="339"/>
      <c r="O21" s="1737"/>
      <c r="P21" s="338"/>
      <c r="Q21" s="338"/>
      <c r="R21" s="338"/>
      <c r="S21" s="338"/>
      <c r="T21" s="2992"/>
      <c r="U21" s="2992"/>
      <c r="V21" s="2992"/>
      <c r="W21" s="2992"/>
      <c r="X21" s="2992"/>
      <c r="Y21" s="2992"/>
      <c r="Z21" s="2992"/>
      <c r="AA21" s="2992"/>
      <c r="AB21" s="2992"/>
      <c r="AC21" s="2992"/>
    </row>
    <row customHeight="1" ht="15">
      <c r="A22" s="2330"/>
      <c r="B22" s="1273">
        <v>1</v>
      </c>
      <c r="C22" s="1273"/>
      <c r="D22" s="913"/>
      <c r="E22" s="1926" t="str">
        <f>A21&amp;"."&amp;B22</f>
        <v>4.1</v>
      </c>
      <c r="F22" s="916" t="s">
        <v>115</v>
      </c>
      <c r="G22" s="906" t="s">
        <v>100</v>
      </c>
      <c r="H22" s="906" t="s">
        <v>116</v>
      </c>
      <c r="I22" s="904" t="s">
        <v>117</v>
      </c>
      <c r="J22" s="1737"/>
      <c r="K22" s="1749"/>
      <c r="L22" s="1749"/>
      <c r="M22" s="1737" t="str">
        <f t="array" ref="M22:M22">IF(ISERROR(MATCH(MID(N22,1,250),MID(note_ter,1,250),0)),"n","y")</f>
        <v>n</v>
      </c>
      <c r="N22" s="1749"/>
      <c r="O22" s="1737" t="str">
        <f>H22&amp;"("&amp;I22&amp;")"</f>
        <v>Ворошневский сельсовет(38620424)</v>
      </c>
      <c r="P22" s="1273"/>
      <c r="Q22" s="1273"/>
      <c r="R22" s="533"/>
      <c r="S22" s="1273"/>
      <c r="T22" s="1273"/>
      <c r="U22" s="1273"/>
      <c r="V22" s="535"/>
      <c r="W22" s="535"/>
      <c r="X22" s="532"/>
      <c r="Y22" s="532"/>
      <c r="Z22" s="532"/>
      <c r="AA22" s="532"/>
      <c r="AB22" s="532"/>
      <c r="AC22" s="532"/>
    </row>
    <row customHeight="1" ht="15">
      <c r="A23" s="2330"/>
      <c r="B23" s="1273"/>
      <c r="C23" s="525"/>
      <c r="D23" s="914"/>
      <c r="E23" s="534"/>
      <c r="F23" s="290"/>
      <c r="G23" s="528" t="s">
        <v>103</v>
      </c>
      <c r="H23" s="300"/>
      <c r="I23" s="537"/>
      <c r="J23" s="1749"/>
      <c r="K23" s="1749"/>
      <c r="L23" s="1749"/>
      <c r="M23" s="1749"/>
      <c r="N23" s="1737"/>
      <c r="O23" s="1749"/>
      <c r="P23" s="1273"/>
      <c r="Q23" s="1273"/>
      <c r="R23" s="533"/>
      <c r="S23" s="1273"/>
      <c r="T23" s="1273"/>
      <c r="U23" s="1273"/>
      <c r="V23" s="535"/>
      <c r="W23" s="535"/>
      <c r="X23" s="532"/>
      <c r="Y23" s="532"/>
      <c r="Z23" s="532"/>
      <c r="AA23" s="532"/>
      <c r="AB23" s="532"/>
      <c r="AC23" s="532"/>
    </row>
    <row customHeight="1" ht="15">
      <c r="A24" s="2330" t="s">
        <v>118</v>
      </c>
      <c r="B24" s="1273"/>
      <c r="C24" s="914" t="s">
        <v>105</v>
      </c>
      <c r="D24" s="1931"/>
      <c r="E24" s="1918" t="str">
        <f>A24</f>
        <v>5</v>
      </c>
      <c r="F24" s="917" t="s">
        <v>119</v>
      </c>
      <c r="G24" s="653" t="str">
        <f>"Территория "&amp;E24</f>
        <v>Территория 5</v>
      </c>
      <c r="H24" s="905"/>
      <c r="I24" s="905"/>
      <c r="J24" s="902"/>
      <c r="K24" s="1737"/>
      <c r="L24" s="1737"/>
      <c r="M24" s="1737"/>
      <c r="N24" s="339"/>
      <c r="O24" s="1737"/>
      <c r="P24" s="338"/>
      <c r="Q24" s="338"/>
      <c r="R24" s="338"/>
      <c r="S24" s="338"/>
      <c r="T24" s="2992"/>
      <c r="U24" s="2992"/>
      <c r="V24" s="2992"/>
      <c r="W24" s="2992"/>
      <c r="X24" s="2992"/>
      <c r="Y24" s="2992"/>
      <c r="Z24" s="2992"/>
      <c r="AA24" s="2992"/>
      <c r="AB24" s="2992"/>
      <c r="AC24" s="2992"/>
    </row>
    <row customHeight="1" ht="15">
      <c r="A25" s="2330"/>
      <c r="B25" s="1273">
        <v>1</v>
      </c>
      <c r="C25" s="1273"/>
      <c r="D25" s="913"/>
      <c r="E25" s="1926" t="str">
        <f>A24&amp;"."&amp;B25</f>
        <v>5.1</v>
      </c>
      <c r="F25" s="916" t="s">
        <v>120</v>
      </c>
      <c r="G25" s="906" t="s">
        <v>100</v>
      </c>
      <c r="H25" s="906" t="s">
        <v>121</v>
      </c>
      <c r="I25" s="904" t="s">
        <v>122</v>
      </c>
      <c r="J25" s="1737"/>
      <c r="K25" s="1749"/>
      <c r="L25" s="1749"/>
      <c r="M25" s="1737" t="str">
        <f t="array" ref="M25:M25">IF(ISERROR(MATCH(MID(N25,1,250),MID(note_ter,1,250),0)),"n","y")</f>
        <v>n</v>
      </c>
      <c r="N25" s="1749"/>
      <c r="O25" s="1737" t="str">
        <f>H25&amp;"("&amp;I25&amp;")"</f>
        <v>Камышинский сельсовет(38620426)</v>
      </c>
      <c r="P25" s="1273"/>
      <c r="Q25" s="1273"/>
      <c r="R25" s="533"/>
      <c r="S25" s="1273"/>
      <c r="T25" s="1273"/>
      <c r="U25" s="1273"/>
      <c r="V25" s="535"/>
      <c r="W25" s="535"/>
      <c r="X25" s="532"/>
      <c r="Y25" s="532"/>
      <c r="Z25" s="532"/>
      <c r="AA25" s="532"/>
      <c r="AB25" s="532"/>
      <c r="AC25" s="532"/>
    </row>
    <row customHeight="1" ht="15">
      <c r="A26" s="2330"/>
      <c r="B26" s="1273"/>
      <c r="C26" s="525"/>
      <c r="D26" s="914"/>
      <c r="E26" s="534"/>
      <c r="F26" s="290"/>
      <c r="G26" s="528" t="s">
        <v>103</v>
      </c>
      <c r="H26" s="300"/>
      <c r="I26" s="537"/>
      <c r="J26" s="1749"/>
      <c r="K26" s="1749"/>
      <c r="L26" s="1749"/>
      <c r="M26" s="1749"/>
      <c r="N26" s="1737"/>
      <c r="O26" s="1749"/>
      <c r="P26" s="1273"/>
      <c r="Q26" s="1273"/>
      <c r="R26" s="533"/>
      <c r="S26" s="1273"/>
      <c r="T26" s="1273"/>
      <c r="U26" s="1273"/>
      <c r="V26" s="535"/>
      <c r="W26" s="535"/>
      <c r="X26" s="532"/>
      <c r="Y26" s="532"/>
      <c r="Z26" s="532"/>
      <c r="AA26" s="532"/>
      <c r="AB26" s="532"/>
      <c r="AC26" s="532"/>
    </row>
    <row customHeight="1" ht="15">
      <c r="A27" s="2330" t="s">
        <v>92</v>
      </c>
      <c r="B27" s="1273"/>
      <c r="C27" s="914" t="s">
        <v>105</v>
      </c>
      <c r="D27" s="1931"/>
      <c r="E27" s="1918" t="str">
        <f>A27</f>
        <v>6</v>
      </c>
      <c r="F27" s="917" t="s">
        <v>123</v>
      </c>
      <c r="G27" s="653" t="str">
        <f>"Территория "&amp;E27</f>
        <v>Территория 6</v>
      </c>
      <c r="H27" s="905"/>
      <c r="I27" s="905"/>
      <c r="J27" s="902"/>
      <c r="K27" s="1737"/>
      <c r="L27" s="1737"/>
      <c r="M27" s="1737"/>
      <c r="N27" s="339"/>
      <c r="O27" s="1737"/>
      <c r="P27" s="338"/>
      <c r="Q27" s="338"/>
      <c r="R27" s="338"/>
      <c r="S27" s="338"/>
      <c r="T27" s="2992"/>
      <c r="U27" s="2992"/>
      <c r="V27" s="2992"/>
      <c r="W27" s="2992"/>
      <c r="X27" s="2992"/>
      <c r="Y27" s="2992"/>
      <c r="Z27" s="2992"/>
      <c r="AA27" s="2992"/>
      <c r="AB27" s="2992"/>
      <c r="AC27" s="2992"/>
    </row>
    <row customHeight="1" ht="15">
      <c r="A28" s="2330"/>
      <c r="B28" s="1273">
        <v>1</v>
      </c>
      <c r="C28" s="1273"/>
      <c r="D28" s="913"/>
      <c r="E28" s="1926" t="str">
        <f>A27&amp;"."&amp;B28</f>
        <v>6.1</v>
      </c>
      <c r="F28" s="916" t="s">
        <v>124</v>
      </c>
      <c r="G28" s="906" t="s">
        <v>100</v>
      </c>
      <c r="H28" s="906" t="s">
        <v>125</v>
      </c>
      <c r="I28" s="904" t="s">
        <v>126</v>
      </c>
      <c r="J28" s="1737"/>
      <c r="K28" s="1749"/>
      <c r="L28" s="1749"/>
      <c r="M28" s="1737" t="str">
        <f t="array" ref="M28:M28">IF(ISERROR(MATCH(MID(N28,1,250),MID(note_ter,1,250),0)),"n","y")</f>
        <v>n</v>
      </c>
      <c r="N28" s="1749"/>
      <c r="O28" s="1737" t="str">
        <f>H28&amp;"("&amp;I28&amp;")"</f>
        <v>Клюквинский сельсовет(38620428)</v>
      </c>
      <c r="P28" s="1273"/>
      <c r="Q28" s="1273"/>
      <c r="R28" s="533"/>
      <c r="S28" s="1273"/>
      <c r="T28" s="1273"/>
      <c r="U28" s="1273"/>
      <c r="V28" s="535"/>
      <c r="W28" s="535"/>
      <c r="X28" s="532"/>
      <c r="Y28" s="532"/>
      <c r="Z28" s="532"/>
      <c r="AA28" s="532"/>
      <c r="AB28" s="532"/>
      <c r="AC28" s="532"/>
    </row>
    <row customHeight="1" ht="15">
      <c r="A29" s="2330"/>
      <c r="B29" s="1273"/>
      <c r="C29" s="525"/>
      <c r="D29" s="914"/>
      <c r="E29" s="534"/>
      <c r="F29" s="290"/>
      <c r="G29" s="528" t="s">
        <v>103</v>
      </c>
      <c r="H29" s="300"/>
      <c r="I29" s="537"/>
      <c r="J29" s="1749"/>
      <c r="K29" s="1749"/>
      <c r="L29" s="1749"/>
      <c r="M29" s="1749"/>
      <c r="N29" s="1737"/>
      <c r="O29" s="1749"/>
      <c r="P29" s="1273"/>
      <c r="Q29" s="1273"/>
      <c r="R29" s="533"/>
      <c r="S29" s="1273"/>
      <c r="T29" s="1273"/>
      <c r="U29" s="1273"/>
      <c r="V29" s="535"/>
      <c r="W29" s="535"/>
      <c r="X29" s="532"/>
      <c r="Y29" s="532"/>
      <c r="Z29" s="532"/>
      <c r="AA29" s="532"/>
      <c r="AB29" s="532"/>
      <c r="AC29" s="532"/>
    </row>
    <row customHeight="1" ht="15">
      <c r="A30" s="2330" t="s">
        <v>93</v>
      </c>
      <c r="B30" s="1273"/>
      <c r="C30" s="914" t="s">
        <v>105</v>
      </c>
      <c r="D30" s="1931"/>
      <c r="E30" s="1918" t="str">
        <f>A30</f>
        <v>7</v>
      </c>
      <c r="F30" s="917" t="s">
        <v>127</v>
      </c>
      <c r="G30" s="653" t="str">
        <f>"Территория "&amp;E30</f>
        <v>Территория 7</v>
      </c>
      <c r="H30" s="905"/>
      <c r="I30" s="905"/>
      <c r="J30" s="902"/>
      <c r="K30" s="1737"/>
      <c r="L30" s="1737"/>
      <c r="M30" s="1737"/>
      <c r="N30" s="339"/>
      <c r="O30" s="1737"/>
      <c r="P30" s="338"/>
      <c r="Q30" s="338"/>
      <c r="R30" s="338"/>
      <c r="S30" s="338"/>
      <c r="T30" s="2992"/>
      <c r="U30" s="2992"/>
      <c r="V30" s="2992"/>
      <c r="W30" s="2992"/>
      <c r="X30" s="2992"/>
      <c r="Y30" s="2992"/>
      <c r="Z30" s="2992"/>
      <c r="AA30" s="2992"/>
      <c r="AB30" s="2992"/>
      <c r="AC30" s="2992"/>
    </row>
    <row customHeight="1" ht="15">
      <c r="A31" s="2330"/>
      <c r="B31" s="1273">
        <v>1</v>
      </c>
      <c r="C31" s="1273"/>
      <c r="D31" s="913"/>
      <c r="E31" s="1926" t="str">
        <f>A30&amp;"."&amp;B31</f>
        <v>7.1</v>
      </c>
      <c r="F31" s="916" t="s">
        <v>128</v>
      </c>
      <c r="G31" s="906" t="s">
        <v>100</v>
      </c>
      <c r="H31" s="906" t="s">
        <v>129</v>
      </c>
      <c r="I31" s="904" t="s">
        <v>130</v>
      </c>
      <c r="J31" s="1737"/>
      <c r="K31" s="1749"/>
      <c r="L31" s="1749"/>
      <c r="M31" s="1737" t="str">
        <f t="array" ref="M31:M31">IF(ISERROR(MATCH(MID(N31,1,250),MID(note_ter,1,250),0)),"n","y")</f>
        <v>n</v>
      </c>
      <c r="N31" s="1749"/>
      <c r="O31" s="1737" t="str">
        <f>H31&amp;"("&amp;I31&amp;")"</f>
        <v>Лебяженский сельсовет(38620432)</v>
      </c>
      <c r="P31" s="1273"/>
      <c r="Q31" s="1273"/>
      <c r="R31" s="533"/>
      <c r="S31" s="1273"/>
      <c r="T31" s="1273"/>
      <c r="U31" s="1273"/>
      <c r="V31" s="535"/>
      <c r="W31" s="535"/>
      <c r="X31" s="532"/>
      <c r="Y31" s="532"/>
      <c r="Z31" s="532"/>
      <c r="AA31" s="532"/>
      <c r="AB31" s="532"/>
      <c r="AC31" s="532"/>
    </row>
    <row customHeight="1" ht="15">
      <c r="A32" s="2330"/>
      <c r="B32" s="1273"/>
      <c r="C32" s="525"/>
      <c r="D32" s="914"/>
      <c r="E32" s="534"/>
      <c r="F32" s="290"/>
      <c r="G32" s="528" t="s">
        <v>103</v>
      </c>
      <c r="H32" s="300"/>
      <c r="I32" s="537"/>
      <c r="J32" s="1749"/>
      <c r="K32" s="1749"/>
      <c r="L32" s="1749"/>
      <c r="M32" s="1749"/>
      <c r="N32" s="1737"/>
      <c r="O32" s="1749"/>
      <c r="P32" s="1273"/>
      <c r="Q32" s="1273"/>
      <c r="R32" s="533"/>
      <c r="S32" s="1273"/>
      <c r="T32" s="1273"/>
      <c r="U32" s="1273"/>
      <c r="V32" s="535"/>
      <c r="W32" s="535"/>
      <c r="X32" s="532"/>
      <c r="Y32" s="532"/>
      <c r="Z32" s="532"/>
      <c r="AA32" s="532"/>
      <c r="AB32" s="532"/>
      <c r="AC32" s="532"/>
    </row>
    <row customHeight="1" ht="15">
      <c r="A33" s="2330" t="s">
        <v>131</v>
      </c>
      <c r="B33" s="1273"/>
      <c r="C33" s="914" t="s">
        <v>105</v>
      </c>
      <c r="D33" s="1931"/>
      <c r="E33" s="1918" t="str">
        <f>A33</f>
        <v>8</v>
      </c>
      <c r="F33" s="917" t="s">
        <v>132</v>
      </c>
      <c r="G33" s="653" t="str">
        <f>"Территория "&amp;E33</f>
        <v>Территория 8</v>
      </c>
      <c r="H33" s="905"/>
      <c r="I33" s="905"/>
      <c r="J33" s="902"/>
      <c r="K33" s="1737"/>
      <c r="L33" s="1737"/>
      <c r="M33" s="1737"/>
      <c r="N33" s="339"/>
      <c r="O33" s="1737"/>
      <c r="P33" s="338"/>
      <c r="Q33" s="338"/>
      <c r="R33" s="338"/>
      <c r="S33" s="338"/>
      <c r="T33" s="2992"/>
      <c r="U33" s="2992"/>
      <c r="V33" s="2992"/>
      <c r="W33" s="2992"/>
      <c r="X33" s="2992"/>
      <c r="Y33" s="2992"/>
      <c r="Z33" s="2992"/>
      <c r="AA33" s="2992"/>
      <c r="AB33" s="2992"/>
      <c r="AC33" s="2992"/>
    </row>
    <row customHeight="1" ht="15">
      <c r="A34" s="2330"/>
      <c r="B34" s="1273">
        <v>1</v>
      </c>
      <c r="C34" s="1273"/>
      <c r="D34" s="913"/>
      <c r="E34" s="1926" t="str">
        <f>A33&amp;"."&amp;B34</f>
        <v>8.1</v>
      </c>
      <c r="F34" s="916" t="s">
        <v>133</v>
      </c>
      <c r="G34" s="906" t="s">
        <v>100</v>
      </c>
      <c r="H34" s="906" t="s">
        <v>134</v>
      </c>
      <c r="I34" s="904" t="s">
        <v>135</v>
      </c>
      <c r="J34" s="1737"/>
      <c r="K34" s="1749"/>
      <c r="L34" s="1749"/>
      <c r="M34" s="1737" t="str">
        <f t="array" ref="M34:M34">IF(ISERROR(MATCH(MID(N34,1,250),MID(note_ter,1,250),0)),"n","y")</f>
        <v>n</v>
      </c>
      <c r="N34" s="1749"/>
      <c r="O34" s="1737" t="str">
        <f>H34&amp;"("&amp;I34&amp;")"</f>
        <v>Моковский сельсовет(38620436)</v>
      </c>
      <c r="P34" s="1273"/>
      <c r="Q34" s="1273"/>
      <c r="R34" s="533"/>
      <c r="S34" s="1273"/>
      <c r="T34" s="1273"/>
      <c r="U34" s="1273"/>
      <c r="V34" s="535"/>
      <c r="W34" s="535"/>
      <c r="X34" s="532"/>
      <c r="Y34" s="532"/>
      <c r="Z34" s="532"/>
      <c r="AA34" s="532"/>
      <c r="AB34" s="532"/>
      <c r="AC34" s="532"/>
    </row>
    <row customHeight="1" ht="15">
      <c r="A35" s="2330"/>
      <c r="B35" s="1273"/>
      <c r="C35" s="525"/>
      <c r="D35" s="914"/>
      <c r="E35" s="534"/>
      <c r="F35" s="290"/>
      <c r="G35" s="528" t="s">
        <v>103</v>
      </c>
      <c r="H35" s="300"/>
      <c r="I35" s="537"/>
      <c r="J35" s="1749"/>
      <c r="K35" s="1749"/>
      <c r="L35" s="1749"/>
      <c r="M35" s="1749"/>
      <c r="N35" s="1737"/>
      <c r="O35" s="1749"/>
      <c r="P35" s="1273"/>
      <c r="Q35" s="1273"/>
      <c r="R35" s="533"/>
      <c r="S35" s="1273"/>
      <c r="T35" s="1273"/>
      <c r="U35" s="1273"/>
      <c r="V35" s="535"/>
      <c r="W35" s="535"/>
      <c r="X35" s="532"/>
      <c r="Y35" s="532"/>
      <c r="Z35" s="532"/>
      <c r="AA35" s="532"/>
      <c r="AB35" s="532"/>
      <c r="AC35" s="532"/>
    </row>
    <row customHeight="1" ht="15">
      <c r="A36" s="2330" t="s">
        <v>136</v>
      </c>
      <c r="B36" s="1273"/>
      <c r="C36" s="914" t="s">
        <v>105</v>
      </c>
      <c r="D36" s="1931"/>
      <c r="E36" s="1918" t="str">
        <f>A36</f>
        <v>9</v>
      </c>
      <c r="F36" s="917" t="s">
        <v>137</v>
      </c>
      <c r="G36" s="653" t="str">
        <f>"Территория "&amp;E36</f>
        <v>Территория 9</v>
      </c>
      <c r="H36" s="905"/>
      <c r="I36" s="905"/>
      <c r="J36" s="902"/>
      <c r="K36" s="1737"/>
      <c r="L36" s="1737"/>
      <c r="M36" s="1737"/>
      <c r="N36" s="339"/>
      <c r="O36" s="1737"/>
      <c r="P36" s="338"/>
      <c r="Q36" s="338"/>
      <c r="R36" s="338"/>
      <c r="S36" s="338"/>
      <c r="T36" s="2992"/>
      <c r="U36" s="2992"/>
      <c r="V36" s="2992"/>
      <c r="W36" s="2992"/>
      <c r="X36" s="2992"/>
      <c r="Y36" s="2992"/>
      <c r="Z36" s="2992"/>
      <c r="AA36" s="2992"/>
      <c r="AB36" s="2992"/>
      <c r="AC36" s="2992"/>
    </row>
    <row customHeight="1" ht="15">
      <c r="A37" s="2330"/>
      <c r="B37" s="1273">
        <v>1</v>
      </c>
      <c r="C37" s="1273"/>
      <c r="D37" s="913"/>
      <c r="E37" s="1926" t="str">
        <f>A36&amp;"."&amp;B37</f>
        <v>9.1</v>
      </c>
      <c r="F37" s="916" t="s">
        <v>138</v>
      </c>
      <c r="G37" s="906" t="s">
        <v>100</v>
      </c>
      <c r="H37" s="906" t="s">
        <v>139</v>
      </c>
      <c r="I37" s="904" t="s">
        <v>140</v>
      </c>
      <c r="J37" s="1737"/>
      <c r="K37" s="1749"/>
      <c r="L37" s="1749"/>
      <c r="M37" s="1737" t="str">
        <f t="array" ref="M37:M37">IF(ISERROR(MATCH(MID(N37,1,250),MID(note_ter,1,250),0)),"n","y")</f>
        <v>n</v>
      </c>
      <c r="N37" s="1749"/>
      <c r="O37" s="1737" t="str">
        <f>H37&amp;"("&amp;I37&amp;")"</f>
        <v>Нижнемедведицкий сельсовет(38620448)</v>
      </c>
      <c r="P37" s="1273"/>
      <c r="Q37" s="1273"/>
      <c r="R37" s="533"/>
      <c r="S37" s="1273"/>
      <c r="T37" s="1273"/>
      <c r="U37" s="1273"/>
      <c r="V37" s="535"/>
      <c r="W37" s="535"/>
      <c r="X37" s="532"/>
      <c r="Y37" s="532"/>
      <c r="Z37" s="532"/>
      <c r="AA37" s="532"/>
      <c r="AB37" s="532"/>
      <c r="AC37" s="532"/>
    </row>
    <row customHeight="1" ht="15">
      <c r="A38" s="2330"/>
      <c r="B38" s="1273"/>
      <c r="C38" s="525"/>
      <c r="D38" s="914"/>
      <c r="E38" s="534"/>
      <c r="F38" s="290"/>
      <c r="G38" s="528" t="s">
        <v>103</v>
      </c>
      <c r="H38" s="300"/>
      <c r="I38" s="537"/>
      <c r="J38" s="1749"/>
      <c r="K38" s="1749"/>
      <c r="L38" s="1749"/>
      <c r="M38" s="1749"/>
      <c r="N38" s="1737"/>
      <c r="O38" s="1749"/>
      <c r="P38" s="1273"/>
      <c r="Q38" s="1273"/>
      <c r="R38" s="533"/>
      <c r="S38" s="1273"/>
      <c r="T38" s="1273"/>
      <c r="U38" s="1273"/>
      <c r="V38" s="535"/>
      <c r="W38" s="535"/>
      <c r="X38" s="532"/>
      <c r="Y38" s="532"/>
      <c r="Z38" s="532"/>
      <c r="AA38" s="532"/>
      <c r="AB38" s="532"/>
      <c r="AC38" s="532"/>
    </row>
    <row customHeight="1" ht="15">
      <c r="A39" s="2330" t="s">
        <v>141</v>
      </c>
      <c r="B39" s="1273"/>
      <c r="C39" s="914" t="s">
        <v>105</v>
      </c>
      <c r="D39" s="1931"/>
      <c r="E39" s="1918" t="str">
        <f>A39</f>
        <v>10</v>
      </c>
      <c r="F39" s="917" t="s">
        <v>142</v>
      </c>
      <c r="G39" s="653" t="str">
        <f>"Территория "&amp;E39</f>
        <v>Территория 10</v>
      </c>
      <c r="H39" s="905"/>
      <c r="I39" s="905"/>
      <c r="J39" s="902"/>
      <c r="K39" s="1737"/>
      <c r="L39" s="1737"/>
      <c r="M39" s="1737"/>
      <c r="N39" s="339"/>
      <c r="O39" s="1737"/>
      <c r="P39" s="338"/>
      <c r="Q39" s="338"/>
      <c r="R39" s="338"/>
      <c r="S39" s="338"/>
      <c r="T39" s="2992"/>
      <c r="U39" s="2992"/>
      <c r="V39" s="2992"/>
      <c r="W39" s="2992"/>
      <c r="X39" s="2992"/>
      <c r="Y39" s="2992"/>
      <c r="Z39" s="2992"/>
      <c r="AA39" s="2992"/>
      <c r="AB39" s="2992"/>
      <c r="AC39" s="2992"/>
    </row>
    <row customHeight="1" ht="15">
      <c r="A40" s="2330"/>
      <c r="B40" s="1273">
        <v>1</v>
      </c>
      <c r="C40" s="1273"/>
      <c r="D40" s="913"/>
      <c r="E40" s="1926" t="str">
        <f>A39&amp;"."&amp;B40</f>
        <v>10.1</v>
      </c>
      <c r="F40" s="916" t="s">
        <v>143</v>
      </c>
      <c r="G40" s="906" t="s">
        <v>100</v>
      </c>
      <c r="H40" s="906" t="s">
        <v>144</v>
      </c>
      <c r="I40" s="904" t="s">
        <v>145</v>
      </c>
      <c r="J40" s="1737"/>
      <c r="K40" s="1749"/>
      <c r="L40" s="1749"/>
      <c r="M40" s="1737" t="str">
        <f t="array" ref="M40:M40">IF(ISERROR(MATCH(MID(N40,1,250),MID(note_ter,1,250),0)),"n","y")</f>
        <v>n</v>
      </c>
      <c r="N40" s="1749"/>
      <c r="O40" s="1737" t="str">
        <f>H40&amp;"("&amp;I40&amp;")"</f>
        <v>Новопоселеновский сельсовет(38620452)</v>
      </c>
      <c r="P40" s="1273"/>
      <c r="Q40" s="1273"/>
      <c r="R40" s="533"/>
      <c r="S40" s="1273"/>
      <c r="T40" s="1273"/>
      <c r="U40" s="1273"/>
      <c r="V40" s="535"/>
      <c r="W40" s="535"/>
      <c r="X40" s="532"/>
      <c r="Y40" s="532"/>
      <c r="Z40" s="532"/>
      <c r="AA40" s="532"/>
      <c r="AB40" s="532"/>
      <c r="AC40" s="532"/>
    </row>
    <row customHeight="1" ht="15">
      <c r="A41" s="2330"/>
      <c r="B41" s="1273"/>
      <c r="C41" s="525"/>
      <c r="D41" s="914"/>
      <c r="E41" s="534"/>
      <c r="F41" s="290"/>
      <c r="G41" s="528" t="s">
        <v>103</v>
      </c>
      <c r="H41" s="300"/>
      <c r="I41" s="537"/>
      <c r="J41" s="1749"/>
      <c r="K41" s="1749"/>
      <c r="L41" s="1749"/>
      <c r="M41" s="1749"/>
      <c r="N41" s="1737"/>
      <c r="O41" s="1749"/>
      <c r="P41" s="1273"/>
      <c r="Q41" s="1273"/>
      <c r="R41" s="533"/>
      <c r="S41" s="1273"/>
      <c r="T41" s="1273"/>
      <c r="U41" s="1273"/>
      <c r="V41" s="535"/>
      <c r="W41" s="535"/>
      <c r="X41" s="532"/>
      <c r="Y41" s="532"/>
      <c r="Z41" s="532"/>
      <c r="AA41" s="532"/>
      <c r="AB41" s="532"/>
      <c r="AC41" s="532"/>
    </row>
    <row customHeight="1" ht="15">
      <c r="A42" s="2330" t="s">
        <v>146</v>
      </c>
      <c r="B42" s="1273"/>
      <c r="C42" s="914" t="s">
        <v>105</v>
      </c>
      <c r="D42" s="1931"/>
      <c r="E42" s="1918" t="str">
        <f>A42</f>
        <v>11</v>
      </c>
      <c r="F42" s="917" t="s">
        <v>147</v>
      </c>
      <c r="G42" s="653" t="str">
        <f>"Территория "&amp;E42</f>
        <v>Территория 11</v>
      </c>
      <c r="H42" s="905"/>
      <c r="I42" s="905"/>
      <c r="J42" s="902"/>
      <c r="K42" s="1737"/>
      <c r="L42" s="1737"/>
      <c r="M42" s="1737"/>
      <c r="N42" s="339"/>
      <c r="O42" s="1737"/>
      <c r="P42" s="338"/>
      <c r="Q42" s="338"/>
      <c r="R42" s="338"/>
      <c r="S42" s="338"/>
      <c r="T42" s="2992"/>
      <c r="U42" s="2992"/>
      <c r="V42" s="2992"/>
      <c r="W42" s="2992"/>
      <c r="X42" s="2992"/>
      <c r="Y42" s="2992"/>
      <c r="Z42" s="2992"/>
      <c r="AA42" s="2992"/>
      <c r="AB42" s="2992"/>
      <c r="AC42" s="2992"/>
    </row>
    <row customHeight="1" ht="15">
      <c r="A43" s="2330"/>
      <c r="B43" s="1273">
        <v>1</v>
      </c>
      <c r="C43" s="1273"/>
      <c r="D43" s="913"/>
      <c r="E43" s="1926" t="str">
        <f>A42&amp;"."&amp;B43</f>
        <v>11.1</v>
      </c>
      <c r="F43" s="916" t="s">
        <v>148</v>
      </c>
      <c r="G43" s="906" t="s">
        <v>100</v>
      </c>
      <c r="H43" s="906" t="s">
        <v>149</v>
      </c>
      <c r="I43" s="904" t="s">
        <v>150</v>
      </c>
      <c r="J43" s="1737"/>
      <c r="K43" s="1749"/>
      <c r="L43" s="1749"/>
      <c r="M43" s="1737" t="str">
        <f t="array" ref="M43:M43">IF(ISERROR(MATCH(MID(N43,1,250),MID(note_ter,1,250),0)),"n","y")</f>
        <v>n</v>
      </c>
      <c r="N43" s="1749"/>
      <c r="O43" s="1737" t="str">
        <f>H43&amp;"("&amp;I43&amp;")"</f>
        <v>Ноздрачевский сельсовет(38620456)</v>
      </c>
      <c r="P43" s="1273"/>
      <c r="Q43" s="1273"/>
      <c r="R43" s="533"/>
      <c r="S43" s="1273"/>
      <c r="T43" s="1273"/>
      <c r="U43" s="1273"/>
      <c r="V43" s="535"/>
      <c r="W43" s="535"/>
      <c r="X43" s="532"/>
      <c r="Y43" s="532"/>
      <c r="Z43" s="532"/>
      <c r="AA43" s="532"/>
      <c r="AB43" s="532"/>
      <c r="AC43" s="532"/>
    </row>
    <row customHeight="1" ht="15">
      <c r="A44" s="2330"/>
      <c r="B44" s="1273"/>
      <c r="C44" s="525"/>
      <c r="D44" s="914"/>
      <c r="E44" s="534"/>
      <c r="F44" s="290"/>
      <c r="G44" s="528" t="s">
        <v>103</v>
      </c>
      <c r="H44" s="300"/>
      <c r="I44" s="537"/>
      <c r="J44" s="1749"/>
      <c r="K44" s="1749"/>
      <c r="L44" s="1749"/>
      <c r="M44" s="1749"/>
      <c r="N44" s="1737"/>
      <c r="O44" s="1749"/>
      <c r="P44" s="1273"/>
      <c r="Q44" s="1273"/>
      <c r="R44" s="533"/>
      <c r="S44" s="1273"/>
      <c r="T44" s="1273"/>
      <c r="U44" s="1273"/>
      <c r="V44" s="535"/>
      <c r="W44" s="535"/>
      <c r="X44" s="532"/>
      <c r="Y44" s="532"/>
      <c r="Z44" s="532"/>
      <c r="AA44" s="532"/>
      <c r="AB44" s="532"/>
      <c r="AC44" s="532"/>
    </row>
    <row customHeight="1" ht="15">
      <c r="A45" s="2330" t="s">
        <v>151</v>
      </c>
      <c r="B45" s="1273"/>
      <c r="C45" s="914" t="s">
        <v>105</v>
      </c>
      <c r="D45" s="1931"/>
      <c r="E45" s="1918" t="str">
        <f>A45</f>
        <v>12</v>
      </c>
      <c r="F45" s="917" t="s">
        <v>152</v>
      </c>
      <c r="G45" s="653" t="str">
        <f>"Территория "&amp;E45</f>
        <v>Территория 12</v>
      </c>
      <c r="H45" s="905"/>
      <c r="I45" s="905"/>
      <c r="J45" s="902"/>
      <c r="K45" s="1737"/>
      <c r="L45" s="1737"/>
      <c r="M45" s="1737"/>
      <c r="N45" s="339"/>
      <c r="O45" s="1737"/>
      <c r="P45" s="338"/>
      <c r="Q45" s="338"/>
      <c r="R45" s="338"/>
      <c r="S45" s="338"/>
      <c r="T45" s="2992"/>
      <c r="U45" s="2992"/>
      <c r="V45" s="2992"/>
      <c r="W45" s="2992"/>
      <c r="X45" s="2992"/>
      <c r="Y45" s="2992"/>
      <c r="Z45" s="2992"/>
      <c r="AA45" s="2992"/>
      <c r="AB45" s="2992"/>
      <c r="AC45" s="2992"/>
    </row>
    <row customHeight="1" ht="15">
      <c r="A46" s="2330"/>
      <c r="B46" s="1273">
        <v>1</v>
      </c>
      <c r="C46" s="1273"/>
      <c r="D46" s="913"/>
      <c r="E46" s="1926" t="str">
        <f>A45&amp;"."&amp;B46</f>
        <v>12.1</v>
      </c>
      <c r="F46" s="916" t="s">
        <v>153</v>
      </c>
      <c r="G46" s="906" t="s">
        <v>100</v>
      </c>
      <c r="H46" s="906" t="s">
        <v>154</v>
      </c>
      <c r="I46" s="904" t="s">
        <v>155</v>
      </c>
      <c r="J46" s="1737"/>
      <c r="K46" s="1749"/>
      <c r="L46" s="1749"/>
      <c r="M46" s="1737" t="str">
        <f t="array" ref="M46:M46">IF(ISERROR(MATCH(MID(N46,1,250),MID(note_ter,1,250),0)),"n","y")</f>
        <v>n</v>
      </c>
      <c r="N46" s="1749"/>
      <c r="O46" s="1737" t="str">
        <f>H46&amp;"("&amp;I46&amp;")"</f>
        <v>Пашковский сельсовет(38620460)</v>
      </c>
      <c r="P46" s="1273"/>
      <c r="Q46" s="1273"/>
      <c r="R46" s="533"/>
      <c r="S46" s="1273"/>
      <c r="T46" s="1273"/>
      <c r="U46" s="1273"/>
      <c r="V46" s="535"/>
      <c r="W46" s="535"/>
      <c r="X46" s="532"/>
      <c r="Y46" s="532"/>
      <c r="Z46" s="532"/>
      <c r="AA46" s="532"/>
      <c r="AB46" s="532"/>
      <c r="AC46" s="532"/>
    </row>
    <row customHeight="1" ht="15">
      <c r="A47" s="2330"/>
      <c r="B47" s="1273"/>
      <c r="C47" s="525"/>
      <c r="D47" s="914"/>
      <c r="E47" s="534"/>
      <c r="F47" s="290"/>
      <c r="G47" s="528" t="s">
        <v>103</v>
      </c>
      <c r="H47" s="300"/>
      <c r="I47" s="537"/>
      <c r="J47" s="1749"/>
      <c r="K47" s="1749"/>
      <c r="L47" s="1749"/>
      <c r="M47" s="1749"/>
      <c r="N47" s="1737"/>
      <c r="O47" s="1749"/>
      <c r="P47" s="1273"/>
      <c r="Q47" s="1273"/>
      <c r="R47" s="533"/>
      <c r="S47" s="1273"/>
      <c r="T47" s="1273"/>
      <c r="U47" s="1273"/>
      <c r="V47" s="535"/>
      <c r="W47" s="535"/>
      <c r="X47" s="532"/>
      <c r="Y47" s="532"/>
      <c r="Z47" s="532"/>
      <c r="AA47" s="532"/>
      <c r="AB47" s="532"/>
      <c r="AC47" s="532"/>
    </row>
    <row customHeight="1" ht="15">
      <c r="A48" s="2330" t="s">
        <v>156</v>
      </c>
      <c r="B48" s="1273"/>
      <c r="C48" s="914" t="s">
        <v>105</v>
      </c>
      <c r="D48" s="1931"/>
      <c r="E48" s="1918" t="str">
        <f>A48</f>
        <v>13</v>
      </c>
      <c r="F48" s="917" t="s">
        <v>157</v>
      </c>
      <c r="G48" s="653" t="str">
        <f>"Территория "&amp;E48</f>
        <v>Территория 13</v>
      </c>
      <c r="H48" s="905"/>
      <c r="I48" s="905"/>
      <c r="J48" s="902"/>
      <c r="K48" s="1737"/>
      <c r="L48" s="1737"/>
      <c r="M48" s="1737"/>
      <c r="N48" s="339"/>
      <c r="O48" s="1737"/>
      <c r="P48" s="338"/>
      <c r="Q48" s="338"/>
      <c r="R48" s="338"/>
      <c r="S48" s="338"/>
      <c r="T48" s="2992"/>
      <c r="U48" s="2992"/>
      <c r="V48" s="2992"/>
      <c r="W48" s="2992"/>
      <c r="X48" s="2992"/>
      <c r="Y48" s="2992"/>
      <c r="Z48" s="2992"/>
      <c r="AA48" s="2992"/>
      <c r="AB48" s="2992"/>
      <c r="AC48" s="2992"/>
    </row>
    <row customHeight="1" ht="15">
      <c r="A49" s="2330"/>
      <c r="B49" s="1273">
        <v>1</v>
      </c>
      <c r="C49" s="1273"/>
      <c r="D49" s="913"/>
      <c r="E49" s="1926" t="str">
        <f>A48&amp;"."&amp;B49</f>
        <v>13.1</v>
      </c>
      <c r="F49" s="916" t="s">
        <v>158</v>
      </c>
      <c r="G49" s="906" t="s">
        <v>100</v>
      </c>
      <c r="H49" s="906" t="s">
        <v>159</v>
      </c>
      <c r="I49" s="904" t="s">
        <v>160</v>
      </c>
      <c r="J49" s="1737"/>
      <c r="K49" s="1749"/>
      <c r="L49" s="1749"/>
      <c r="M49" s="1737" t="str">
        <f t="array" ref="M49:M49">IF(ISERROR(MATCH(MID(N49,1,250),MID(note_ter,1,250),0)),"n","y")</f>
        <v>n</v>
      </c>
      <c r="N49" s="1749"/>
      <c r="O49" s="1737" t="str">
        <f>H49&amp;"("&amp;I49&amp;")"</f>
        <v>Полевской сельсовет(38620468)</v>
      </c>
      <c r="P49" s="1273"/>
      <c r="Q49" s="1273"/>
      <c r="R49" s="533"/>
      <c r="S49" s="1273"/>
      <c r="T49" s="1273"/>
      <c r="U49" s="1273"/>
      <c r="V49" s="535"/>
      <c r="W49" s="535"/>
      <c r="X49" s="532"/>
      <c r="Y49" s="532"/>
      <c r="Z49" s="532"/>
      <c r="AA49" s="532"/>
      <c r="AB49" s="532"/>
      <c r="AC49" s="532"/>
    </row>
    <row customHeight="1" ht="15">
      <c r="A50" s="2330"/>
      <c r="B50" s="1273"/>
      <c r="C50" s="525"/>
      <c r="D50" s="914"/>
      <c r="E50" s="534"/>
      <c r="F50" s="290"/>
      <c r="G50" s="528" t="s">
        <v>103</v>
      </c>
      <c r="H50" s="300"/>
      <c r="I50" s="537"/>
      <c r="J50" s="1749"/>
      <c r="K50" s="1749"/>
      <c r="L50" s="1749"/>
      <c r="M50" s="1749"/>
      <c r="N50" s="1737"/>
      <c r="O50" s="1749"/>
      <c r="P50" s="1273"/>
      <c r="Q50" s="1273"/>
      <c r="R50" s="533"/>
      <c r="S50" s="1273"/>
      <c r="T50" s="1273"/>
      <c r="U50" s="1273"/>
      <c r="V50" s="535"/>
      <c r="W50" s="535"/>
      <c r="X50" s="532"/>
      <c r="Y50" s="532"/>
      <c r="Z50" s="532"/>
      <c r="AA50" s="532"/>
      <c r="AB50" s="532"/>
      <c r="AC50" s="532"/>
    </row>
    <row customHeight="1" ht="15">
      <c r="A51" s="2330" t="s">
        <v>161</v>
      </c>
      <c r="B51" s="1273"/>
      <c r="C51" s="914" t="s">
        <v>105</v>
      </c>
      <c r="D51" s="1931"/>
      <c r="E51" s="1918" t="str">
        <f>A51</f>
        <v>14</v>
      </c>
      <c r="F51" s="917" t="s">
        <v>162</v>
      </c>
      <c r="G51" s="653" t="str">
        <f>"Территория "&amp;E51</f>
        <v>Территория 14</v>
      </c>
      <c r="H51" s="905"/>
      <c r="I51" s="905"/>
      <c r="J51" s="902"/>
      <c r="K51" s="1737"/>
      <c r="L51" s="1737"/>
      <c r="M51" s="1737"/>
      <c r="N51" s="339"/>
      <c r="O51" s="1737"/>
      <c r="P51" s="338"/>
      <c r="Q51" s="338"/>
      <c r="R51" s="338"/>
      <c r="S51" s="338"/>
      <c r="T51" s="2992"/>
      <c r="U51" s="2992"/>
      <c r="V51" s="2992"/>
      <c r="W51" s="2992"/>
      <c r="X51" s="2992"/>
      <c r="Y51" s="2992"/>
      <c r="Z51" s="2992"/>
      <c r="AA51" s="2992"/>
      <c r="AB51" s="2992"/>
      <c r="AC51" s="2992"/>
    </row>
    <row customHeight="1" ht="15">
      <c r="A52" s="2330"/>
      <c r="B52" s="1273">
        <v>1</v>
      </c>
      <c r="C52" s="1273"/>
      <c r="D52" s="913"/>
      <c r="E52" s="1926" t="str">
        <f>A51&amp;"."&amp;B52</f>
        <v>14.1</v>
      </c>
      <c r="F52" s="916" t="s">
        <v>163</v>
      </c>
      <c r="G52" s="906" t="s">
        <v>100</v>
      </c>
      <c r="H52" s="906" t="s">
        <v>164</v>
      </c>
      <c r="I52" s="904" t="s">
        <v>165</v>
      </c>
      <c r="J52" s="1737"/>
      <c r="K52" s="1749"/>
      <c r="L52" s="1749"/>
      <c r="M52" s="1737" t="str">
        <f t="array" ref="M52:M52">IF(ISERROR(MATCH(MID(N52,1,250),MID(note_ter,1,250),0)),"n","y")</f>
        <v>n</v>
      </c>
      <c r="N52" s="1749"/>
      <c r="O52" s="1737" t="str">
        <f>H52&amp;"("&amp;I52&amp;")"</f>
        <v>Полянский сельсовет(38620472)</v>
      </c>
      <c r="P52" s="1273"/>
      <c r="Q52" s="1273"/>
      <c r="R52" s="533"/>
      <c r="S52" s="1273"/>
      <c r="T52" s="1273"/>
      <c r="U52" s="1273"/>
      <c r="V52" s="535"/>
      <c r="W52" s="535"/>
      <c r="X52" s="532"/>
      <c r="Y52" s="532"/>
      <c r="Z52" s="532"/>
      <c r="AA52" s="532"/>
      <c r="AB52" s="532"/>
      <c r="AC52" s="532"/>
    </row>
    <row customHeight="1" ht="15">
      <c r="A53" s="2330"/>
      <c r="B53" s="1273"/>
      <c r="C53" s="525"/>
      <c r="D53" s="914"/>
      <c r="E53" s="534"/>
      <c r="F53" s="290"/>
      <c r="G53" s="528" t="s">
        <v>103</v>
      </c>
      <c r="H53" s="300"/>
      <c r="I53" s="537"/>
      <c r="J53" s="1749"/>
      <c r="K53" s="1749"/>
      <c r="L53" s="1749"/>
      <c r="M53" s="1749"/>
      <c r="N53" s="1737"/>
      <c r="O53" s="1749"/>
      <c r="P53" s="1273"/>
      <c r="Q53" s="1273"/>
      <c r="R53" s="533"/>
      <c r="S53" s="1273"/>
      <c r="T53" s="1273"/>
      <c r="U53" s="1273"/>
      <c r="V53" s="535"/>
      <c r="W53" s="535"/>
      <c r="X53" s="532"/>
      <c r="Y53" s="532"/>
      <c r="Z53" s="532"/>
      <c r="AA53" s="532"/>
      <c r="AB53" s="532"/>
      <c r="AC53" s="532"/>
    </row>
    <row customHeight="1" ht="15">
      <c r="A54" s="2330" t="s">
        <v>166</v>
      </c>
      <c r="B54" s="1273"/>
      <c r="C54" s="914" t="s">
        <v>105</v>
      </c>
      <c r="D54" s="1931"/>
      <c r="E54" s="1918" t="str">
        <f>A54</f>
        <v>15</v>
      </c>
      <c r="F54" s="917" t="s">
        <v>167</v>
      </c>
      <c r="G54" s="653" t="str">
        <f>"Территория "&amp;E54</f>
        <v>Территория 15</v>
      </c>
      <c r="H54" s="905"/>
      <c r="I54" s="905"/>
      <c r="J54" s="902"/>
      <c r="K54" s="1737"/>
      <c r="L54" s="1737"/>
      <c r="M54" s="1737"/>
      <c r="N54" s="339"/>
      <c r="O54" s="1737"/>
      <c r="P54" s="338"/>
      <c r="Q54" s="338"/>
      <c r="R54" s="338"/>
      <c r="S54" s="338"/>
      <c r="T54" s="2992"/>
      <c r="U54" s="2992"/>
      <c r="V54" s="2992"/>
      <c r="W54" s="2992"/>
      <c r="X54" s="2992"/>
      <c r="Y54" s="2992"/>
      <c r="Z54" s="2992"/>
      <c r="AA54" s="2992"/>
      <c r="AB54" s="2992"/>
      <c r="AC54" s="2992"/>
    </row>
    <row customHeight="1" ht="15">
      <c r="A55" s="2330"/>
      <c r="B55" s="1273">
        <v>1</v>
      </c>
      <c r="C55" s="1273"/>
      <c r="D55" s="913"/>
      <c r="E55" s="1926" t="str">
        <f>A54&amp;"."&amp;B55</f>
        <v>15.1</v>
      </c>
      <c r="F55" s="916" t="s">
        <v>168</v>
      </c>
      <c r="G55" s="906" t="s">
        <v>100</v>
      </c>
      <c r="H55" s="906" t="s">
        <v>169</v>
      </c>
      <c r="I55" s="904" t="s">
        <v>170</v>
      </c>
      <c r="J55" s="1737"/>
      <c r="K55" s="1749"/>
      <c r="L55" s="1749"/>
      <c r="M55" s="1737" t="str">
        <f t="array" ref="M55:M55">IF(ISERROR(MATCH(MID(N55,1,250),MID(note_ter,1,250),0)),"n","y")</f>
        <v>n</v>
      </c>
      <c r="N55" s="1749"/>
      <c r="O55" s="1737" t="str">
        <f>H55&amp;"("&amp;I55&amp;")"</f>
        <v>Рышковский сельсовет(38620476)</v>
      </c>
      <c r="P55" s="1273"/>
      <c r="Q55" s="1273"/>
      <c r="R55" s="533"/>
      <c r="S55" s="1273"/>
      <c r="T55" s="1273"/>
      <c r="U55" s="1273"/>
      <c r="V55" s="535"/>
      <c r="W55" s="535"/>
      <c r="X55" s="532"/>
      <c r="Y55" s="532"/>
      <c r="Z55" s="532"/>
      <c r="AA55" s="532"/>
      <c r="AB55" s="532"/>
      <c r="AC55" s="532"/>
    </row>
    <row customHeight="1" ht="15">
      <c r="A56" s="2330"/>
      <c r="B56" s="1273"/>
      <c r="C56" s="525"/>
      <c r="D56" s="914"/>
      <c r="E56" s="534"/>
      <c r="F56" s="290"/>
      <c r="G56" s="528" t="s">
        <v>103</v>
      </c>
      <c r="H56" s="300"/>
      <c r="I56" s="537"/>
      <c r="J56" s="1749"/>
      <c r="K56" s="1749"/>
      <c r="L56" s="1749"/>
      <c r="M56" s="1749"/>
      <c r="N56" s="1737"/>
      <c r="O56" s="1749"/>
      <c r="P56" s="1273"/>
      <c r="Q56" s="1273"/>
      <c r="R56" s="533"/>
      <c r="S56" s="1273"/>
      <c r="T56" s="1273"/>
      <c r="U56" s="1273"/>
      <c r="V56" s="535"/>
      <c r="W56" s="535"/>
      <c r="X56" s="532"/>
      <c r="Y56" s="532"/>
      <c r="Z56" s="532"/>
      <c r="AA56" s="532"/>
      <c r="AB56" s="532"/>
      <c r="AC56" s="532"/>
    </row>
    <row customHeight="1" ht="15">
      <c r="A57" s="2330" t="s">
        <v>171</v>
      </c>
      <c r="B57" s="1273"/>
      <c r="C57" s="914" t="s">
        <v>105</v>
      </c>
      <c r="D57" s="1931"/>
      <c r="E57" s="1918" t="str">
        <f>A57</f>
        <v>16</v>
      </c>
      <c r="F57" s="917" t="s">
        <v>172</v>
      </c>
      <c r="G57" s="653" t="str">
        <f>"Территория "&amp;E57</f>
        <v>Территория 16</v>
      </c>
      <c r="H57" s="905"/>
      <c r="I57" s="905"/>
      <c r="J57" s="902"/>
      <c r="K57" s="1737"/>
      <c r="L57" s="1737"/>
      <c r="M57" s="1737"/>
      <c r="N57" s="339"/>
      <c r="O57" s="1737"/>
      <c r="P57" s="338"/>
      <c r="Q57" s="338"/>
      <c r="R57" s="338"/>
      <c r="S57" s="338"/>
      <c r="T57" s="2992"/>
      <c r="U57" s="2992"/>
      <c r="V57" s="2992"/>
      <c r="W57" s="2992"/>
      <c r="X57" s="2992"/>
      <c r="Y57" s="2992"/>
      <c r="Z57" s="2992"/>
      <c r="AA57" s="2992"/>
      <c r="AB57" s="2992"/>
      <c r="AC57" s="2992"/>
    </row>
    <row customHeight="1" ht="15">
      <c r="A58" s="2330"/>
      <c r="B58" s="1273">
        <v>1</v>
      </c>
      <c r="C58" s="1273"/>
      <c r="D58" s="913"/>
      <c r="E58" s="1926" t="str">
        <f>A57&amp;"."&amp;B58</f>
        <v>16.1</v>
      </c>
      <c r="F58" s="916" t="s">
        <v>173</v>
      </c>
      <c r="G58" s="906" t="s">
        <v>100</v>
      </c>
      <c r="H58" s="906" t="s">
        <v>174</v>
      </c>
      <c r="I58" s="904" t="s">
        <v>175</v>
      </c>
      <c r="J58" s="1737"/>
      <c r="K58" s="1749"/>
      <c r="L58" s="1749"/>
      <c r="M58" s="1737" t="str">
        <f t="array" ref="M58:M58">IF(ISERROR(MATCH(MID(N58,1,250),MID(note_ter,1,250),0)),"n","y")</f>
        <v>n</v>
      </c>
      <c r="N58" s="1749"/>
      <c r="O58" s="1737" t="str">
        <f>H58&amp;"("&amp;I58&amp;")"</f>
        <v>Шумаковский сельсовет(38620488)</v>
      </c>
      <c r="P58" s="1273"/>
      <c r="Q58" s="1273"/>
      <c r="R58" s="533"/>
      <c r="S58" s="1273"/>
      <c r="T58" s="1273"/>
      <c r="U58" s="1273"/>
      <c r="V58" s="535"/>
      <c r="W58" s="535"/>
      <c r="X58" s="532"/>
      <c r="Y58" s="532"/>
      <c r="Z58" s="532"/>
      <c r="AA58" s="532"/>
      <c r="AB58" s="532"/>
      <c r="AC58" s="532"/>
    </row>
    <row customHeight="1" ht="15">
      <c r="A59" s="2330"/>
      <c r="B59" s="1273"/>
      <c r="C59" s="525"/>
      <c r="D59" s="914"/>
      <c r="E59" s="534"/>
      <c r="F59" s="290"/>
      <c r="G59" s="528" t="s">
        <v>103</v>
      </c>
      <c r="H59" s="300"/>
      <c r="I59" s="537"/>
      <c r="J59" s="1749"/>
      <c r="K59" s="1749"/>
      <c r="L59" s="1749"/>
      <c r="M59" s="1749"/>
      <c r="N59" s="1737"/>
      <c r="O59" s="1749"/>
      <c r="P59" s="1273"/>
      <c r="Q59" s="1273"/>
      <c r="R59" s="533"/>
      <c r="S59" s="1273"/>
      <c r="T59" s="1273"/>
      <c r="U59" s="1273"/>
      <c r="V59" s="535"/>
      <c r="W59" s="535"/>
      <c r="X59" s="532"/>
      <c r="Y59" s="532"/>
      <c r="Z59" s="532"/>
      <c r="AA59" s="532"/>
      <c r="AB59" s="532"/>
      <c r="AC59" s="532"/>
    </row>
    <row customHeight="1" ht="15">
      <c r="A60" s="2330" t="s">
        <v>176</v>
      </c>
      <c r="B60" s="1273"/>
      <c r="C60" s="914" t="s">
        <v>105</v>
      </c>
      <c r="D60" s="1931"/>
      <c r="E60" s="1918" t="str">
        <f>A60</f>
        <v>17</v>
      </c>
      <c r="F60" s="917" t="s">
        <v>177</v>
      </c>
      <c r="G60" s="653" t="str">
        <f>"Территория "&amp;E60</f>
        <v>Территория 17</v>
      </c>
      <c r="H60" s="905"/>
      <c r="I60" s="905"/>
      <c r="J60" s="902"/>
      <c r="K60" s="1737"/>
      <c r="L60" s="1737"/>
      <c r="M60" s="1737"/>
      <c r="N60" s="339"/>
      <c r="O60" s="1737"/>
      <c r="P60" s="338"/>
      <c r="Q60" s="338"/>
      <c r="R60" s="338"/>
      <c r="S60" s="338"/>
      <c r="T60" s="2992"/>
      <c r="U60" s="2992"/>
      <c r="V60" s="2992"/>
      <c r="W60" s="2992"/>
      <c r="X60" s="2992"/>
      <c r="Y60" s="2992"/>
      <c r="Z60" s="2992"/>
      <c r="AA60" s="2992"/>
      <c r="AB60" s="2992"/>
      <c r="AC60" s="2992"/>
    </row>
    <row customHeight="1" ht="15">
      <c r="A61" s="2330"/>
      <c r="B61" s="1273">
        <v>1</v>
      </c>
      <c r="C61" s="1273"/>
      <c r="D61" s="913"/>
      <c r="E61" s="1926" t="str">
        <f>A60&amp;"."&amp;B61</f>
        <v>17.1</v>
      </c>
      <c r="F61" s="916" t="s">
        <v>178</v>
      </c>
      <c r="G61" s="906" t="s">
        <v>100</v>
      </c>
      <c r="H61" s="906" t="s">
        <v>179</v>
      </c>
      <c r="I61" s="904" t="s">
        <v>180</v>
      </c>
      <c r="J61" s="1737"/>
      <c r="K61" s="1749"/>
      <c r="L61" s="1749"/>
      <c r="M61" s="1737" t="str">
        <f t="array" ref="M61:M61">IF(ISERROR(MATCH(MID(N61,1,250),MID(note_ter,1,250),0)),"n","y")</f>
        <v>n</v>
      </c>
      <c r="N61" s="1749"/>
      <c r="O61" s="1737" t="str">
        <f>H61&amp;"("&amp;I61&amp;")"</f>
        <v>Щетинский сельсовет(38620492)</v>
      </c>
      <c r="P61" s="1273"/>
      <c r="Q61" s="1273"/>
      <c r="R61" s="533"/>
      <c r="S61" s="1273"/>
      <c r="T61" s="1273"/>
      <c r="U61" s="1273"/>
      <c r="V61" s="535"/>
      <c r="W61" s="535"/>
      <c r="X61" s="532"/>
      <c r="Y61" s="532"/>
      <c r="Z61" s="532"/>
      <c r="AA61" s="532"/>
      <c r="AB61" s="532"/>
      <c r="AC61" s="532"/>
    </row>
    <row customHeight="1" ht="15">
      <c r="A62" s="2330"/>
      <c r="B62" s="1273"/>
      <c r="C62" s="525"/>
      <c r="D62" s="914"/>
      <c r="E62" s="534"/>
      <c r="F62" s="290"/>
      <c r="G62" s="528" t="s">
        <v>103</v>
      </c>
      <c r="H62" s="300"/>
      <c r="I62" s="537"/>
      <c r="J62" s="1749"/>
      <c r="K62" s="1749"/>
      <c r="L62" s="1749"/>
      <c r="M62" s="1749"/>
      <c r="N62" s="1737"/>
      <c r="O62" s="1749"/>
      <c r="P62" s="1273"/>
      <c r="Q62" s="1273"/>
      <c r="R62" s="533"/>
      <c r="S62" s="1273"/>
      <c r="T62" s="1273"/>
      <c r="U62" s="1273"/>
      <c r="V62" s="535"/>
      <c r="W62" s="535"/>
      <c r="X62" s="532"/>
      <c r="Y62" s="532"/>
      <c r="Z62" s="532"/>
      <c r="AA62" s="532"/>
      <c r="AB62" s="532"/>
      <c r="AC62" s="532"/>
    </row>
    <row s="8370" customFormat="1" customHeight="1" ht="14.699999999999998">
      <c r="A63" s="871"/>
      <c r="B63" s="530"/>
      <c r="C63" s="871"/>
      <c r="D63" s="895"/>
      <c r="E63" s="907"/>
      <c r="F63" s="291"/>
      <c r="G63" s="529" t="s">
        <v>181</v>
      </c>
      <c r="H63" s="291"/>
      <c r="I63" s="292"/>
      <c r="J63" s="362"/>
      <c r="K63" s="268"/>
      <c r="L63" s="268"/>
      <c r="M63" s="268"/>
      <c r="N63" s="339" t="s">
        <v>182</v>
      </c>
      <c r="O63" s="268"/>
      <c r="P63" s="338"/>
      <c r="Q63" s="338"/>
      <c r="R63" s="338"/>
      <c r="S63" s="338"/>
      <c r="AC63" s="229">
        <v>14</v>
      </c>
    </row>
    <row s="8370" customFormat="1" customHeight="1" ht="22.049999999999997">
      <c r="A64" s="871"/>
      <c r="B64" s="530"/>
      <c r="C64" s="871"/>
      <c r="D64" s="278"/>
      <c r="E64" s="293"/>
      <c r="F64" s="293"/>
      <c r="G64" s="293"/>
      <c r="H64" s="293"/>
      <c r="I64" s="293"/>
      <c r="J64" s="268"/>
      <c r="K64" s="268"/>
      <c r="L64" s="268"/>
      <c r="M64" s="268"/>
      <c r="N64" s="339"/>
      <c r="O64" s="268"/>
      <c r="P64" s="338"/>
      <c r="Q64" s="338"/>
      <c r="R64" s="338"/>
      <c r="S64" s="338"/>
      <c r="AC64" s="229">
        <v>21</v>
      </c>
    </row>
    <row s="8370" customFormat="1" customHeight="1" ht="14.699999999999998">
      <c r="A65" s="871"/>
      <c r="B65" s="530"/>
      <c r="C65" s="871"/>
      <c r="D65" s="278"/>
      <c r="E65" s="196"/>
      <c r="F65" s="871"/>
      <c r="G65" s="196"/>
      <c r="H65" s="196"/>
      <c r="I65" s="196"/>
      <c r="J65" s="268"/>
      <c r="K65" s="268"/>
      <c r="L65" s="268"/>
      <c r="M65" s="268"/>
      <c r="N65" s="339"/>
      <c r="O65" s="268"/>
      <c r="P65" s="338"/>
      <c r="Q65" s="338"/>
      <c r="R65" s="338"/>
      <c r="S65" s="338"/>
      <c r="AC65" s="229">
        <v>14</v>
      </c>
    </row>
    <row s="8370" customFormat="1" customHeight="1" ht="1.05">
      <c r="A66" s="871"/>
      <c r="B66" s="530"/>
      <c r="C66" s="871"/>
      <c r="D66" s="278"/>
      <c r="E66" s="196"/>
      <c r="F66" s="871"/>
      <c r="G66" s="196"/>
      <c r="H66" s="196"/>
      <c r="I66" s="196"/>
      <c r="J66" s="268"/>
      <c r="K66" s="268"/>
      <c r="L66" s="268"/>
      <c r="M66" s="268"/>
      <c r="N66" s="339"/>
      <c r="O66" s="268"/>
      <c r="P66" s="338"/>
      <c r="Q66" s="338"/>
      <c r="R66" s="338"/>
      <c r="S66" s="338"/>
      <c r="AC66" s="229">
        <v>1</v>
      </c>
    </row>
    <row s="8448" customFormat="1" customHeight="1" ht="10.5">
      <c r="B67" s="947"/>
      <c r="D67" s="295"/>
      <c r="J67" s="268"/>
      <c r="K67" s="268"/>
      <c r="L67" s="268"/>
      <c r="M67" s="268"/>
      <c r="N67" s="339"/>
      <c r="O67" s="268"/>
      <c r="P67" s="338"/>
      <c r="Q67" s="338"/>
      <c r="R67" s="338"/>
      <c r="S67" s="338"/>
      <c r="AC67" s="294">
        <v>10</v>
      </c>
    </row>
    <row s="8448" customFormat="1" customHeight="1" ht="10.5">
      <c r="B68" s="947"/>
      <c r="D68" s="295"/>
      <c r="J68" s="268"/>
      <c r="K68" s="268"/>
      <c r="L68" s="268"/>
      <c r="M68" s="268"/>
      <c r="N68" s="339"/>
      <c r="O68" s="268"/>
      <c r="P68" s="338"/>
      <c r="Q68" s="338"/>
      <c r="R68" s="338"/>
      <c r="S68" s="338"/>
      <c r="AC68" s="294">
        <v>10</v>
      </c>
    </row>
    <row customHeight="1" ht="14.699999999999998">
      <c r="AC69" s="196">
        <v>14</v>
      </c>
    </row>
    <row customHeight="1" ht="14.699999999999998">
      <c r="AC70" s="196">
        <v>14</v>
      </c>
    </row>
    <row customHeight="1" ht="14.699999999999998">
      <c r="AC71" s="196">
        <v>14</v>
      </c>
    </row>
    <row customHeight="1" ht="14.699999999999998">
      <c r="H72" s="175"/>
      <c r="AC72" s="196">
        <v>14</v>
      </c>
    </row>
    <row customHeight="1" ht="14.699999999999998">
      <c r="AC73" s="196">
        <v>14</v>
      </c>
    </row>
    <row customHeight="1" ht="14.699999999999998">
      <c r="AC74" s="196">
        <v>14</v>
      </c>
    </row>
    <row customHeight="1" ht="14.699999999999998">
      <c r="AC75" s="196">
        <v>14</v>
      </c>
    </row>
    <row customHeight="1" ht="14.699999999999998">
      <c r="J76" s="196"/>
      <c r="K76" s="196"/>
      <c r="L76" s="196"/>
      <c r="AC76" s="196">
        <v>14</v>
      </c>
    </row>
    <row customHeight="1" ht="22.5" hidden="1">
      <c r="A77" s="871" t="s">
        <v>82</v>
      </c>
      <c r="B77" s="530">
        <v>0</v>
      </c>
      <c r="C77" s="871">
        <v>3</v>
      </c>
      <c r="D77" s="278">
        <v>3</v>
      </c>
      <c r="E77" s="196">
        <v>6</v>
      </c>
      <c r="F77" s="871">
        <v>0</v>
      </c>
      <c r="G77" s="196">
        <v>46</v>
      </c>
      <c r="H77" s="196">
        <v>42</v>
      </c>
      <c r="I77" s="196">
        <v>14</v>
      </c>
      <c r="J77" s="268">
        <v>3</v>
      </c>
      <c r="K77" s="268">
        <v>0</v>
      </c>
      <c r="L77" s="268">
        <v>0</v>
      </c>
      <c r="M77" s="268">
        <v>0</v>
      </c>
      <c r="N77" s="339">
        <v>0</v>
      </c>
      <c r="O77" s="268">
        <v>0</v>
      </c>
      <c r="P77" s="338">
        <v>0</v>
      </c>
      <c r="Q77" s="338">
        <v>0</v>
      </c>
      <c r="R77" s="338">
        <v>0</v>
      </c>
      <c r="S77" s="338">
        <v>0</v>
      </c>
      <c r="T77" s="196">
        <v>0</v>
      </c>
      <c r="U77" s="196">
        <v>0</v>
      </c>
      <c r="V77" s="196">
        <v>0</v>
      </c>
      <c r="W77" s="196">
        <v>0</v>
      </c>
      <c r="X77" s="196">
        <v>0</v>
      </c>
      <c r="Y77" s="196">
        <v>0</v>
      </c>
      <c r="Z77" s="196">
        <v>0</v>
      </c>
      <c r="AA77" s="196">
        <v>0</v>
      </c>
      <c r="AB77" s="196">
        <v>8</v>
      </c>
      <c r="AC77" s="196">
        <v>23</v>
      </c>
    </row>
  </sheetData>
  <sheetProtection formatColumns="0" formatRows="0" autoFilter="0" sort="0" insertRows="0" insertColumns="1" deleteRows="0" deleteColumns="0"/>
  <mergeCells count="20">
    <mergeCell ref="A12:A14"/>
    <mergeCell ref="E4:I4"/>
    <mergeCell ref="E8:G8"/>
    <mergeCell ref="H8:I8"/>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s>
  <dataValidations count="17">
    <dataValidation type="textLength" operator="lessThanOrEqual" allowBlank="1" showInputMessage="1" showErrorMessage="1" errorTitle="Ошибка" error="Допускается ввод не более 900 символов!" sqref="G60">
      <formula1>900</formula1>
    </dataValidation>
    <dataValidation type="textLength" operator="lessThanOrEqual" allowBlank="1" showInputMessage="1" showErrorMessage="1" errorTitle="Ошибка" error="Допускается ввод не более 900 символов!" sqref="G57">
      <formula1>900</formula1>
    </dataValidation>
    <dataValidation type="textLength" operator="lessThanOrEqual" allowBlank="1" showInputMessage="1" showErrorMessage="1" errorTitle="Ошибка" error="Допускается ввод не более 900 символов!" sqref="G54">
      <formula1>900</formula1>
    </dataValidation>
    <dataValidation type="textLength" operator="lessThanOrEqual" allowBlank="1" showInputMessage="1" showErrorMessage="1" errorTitle="Ошибка" error="Допускается ввод не более 900 символов!" sqref="G51">
      <formula1>900</formula1>
    </dataValidation>
    <dataValidation type="textLength" operator="lessThanOrEqual" allowBlank="1" showInputMessage="1" showErrorMessage="1" errorTitle="Ошибка" error="Допускается ввод не более 900 символов!" sqref="G48">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4143C8-EF67-03EA-3857-10A7E41CA826}"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8491" width="6.421875" hidden="1" customWidth="1"/>
    <col min="2" max="2" style="8491" width="2.00390625" hidden="1" customWidth="1"/>
    <col min="3" max="3" style="8491" width="3.00390625" customWidth="1"/>
    <col min="4" max="4" style="8491" width="4.00390625" customWidth="1"/>
    <col min="5" max="5" style="8491" width="44.00390625" customWidth="1"/>
    <col min="6" max="6" style="8491" width="6.421875" customWidth="1"/>
    <col min="7" max="7" style="8491" width="4.00390625" customWidth="1"/>
    <col min="8" max="8" style="8491" width="5.00390625" customWidth="1"/>
    <col min="9" max="9" style="8491" width="52.00390625" customWidth="1"/>
    <col min="10" max="10" style="8491" width="7.00390625" customWidth="1"/>
    <col min="11" max="11" style="8491" width="3.00390625" customWidth="1"/>
    <col min="12" max="12" style="8491" width="6.00390625" customWidth="1"/>
    <col min="13" max="13" style="8491" width="56.00390625" customWidth="1"/>
    <col min="14" max="14" style="8542" width="8.00390625" customWidth="1"/>
    <col min="15" max="20" style="8454" width="9.140625" hidden="1"/>
    <col min="21" max="24" style="8543" width="9.140625" hidden="1"/>
    <col min="25" max="37" style="8542" width="9.140625" hidden="1"/>
    <col min="38" max="38" style="8542" width="8.00390625" customWidth="1"/>
    <col min="39" max="39" style="8491"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33"/>
      <c r="F4" s="2233"/>
      <c r="G4" s="2233"/>
      <c r="H4" s="2233"/>
      <c r="I4" s="2234"/>
      <c r="J4" s="697"/>
      <c r="K4" s="697"/>
      <c r="L4" s="697"/>
      <c r="M4" s="697"/>
      <c r="AM4" s="696">
        <v>34</v>
      </c>
    </row>
    <row s="8462" customFormat="1" customHeight="1" ht="14.699999999999998">
      <c r="A5" s="698"/>
      <c r="B5" s="698"/>
      <c r="C5" s="698"/>
      <c r="D5" s="2235" t="str">
        <f>IF(org=0,"Не определено",org)</f>
        <v>МУП ЖКХ "Родник"</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8462"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8462"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183</v>
      </c>
      <c r="E9" s="2240"/>
      <c r="F9" s="2241" t="s">
        <v>184</v>
      </c>
      <c r="G9" s="2242"/>
      <c r="H9" s="2242"/>
      <c r="I9" s="2242"/>
      <c r="J9" s="2245" t="s">
        <v>185</v>
      </c>
      <c r="K9" s="2245"/>
      <c r="L9" s="2245"/>
      <c r="M9" s="2245"/>
      <c r="AM9" s="696">
        <v>18</v>
      </c>
    </row>
    <row customHeight="1" ht="24">
      <c r="A10" s="2239"/>
      <c r="B10" s="705"/>
      <c r="C10" s="638"/>
      <c r="D10" s="636" t="s">
        <v>88</v>
      </c>
      <c r="E10" s="636" t="s">
        <v>89</v>
      </c>
      <c r="F10" s="636" t="s">
        <v>186</v>
      </c>
      <c r="G10" s="2246" t="s">
        <v>88</v>
      </c>
      <c r="H10" s="2247"/>
      <c r="I10" s="636" t="s">
        <v>89</v>
      </c>
      <c r="J10" s="636" t="s">
        <v>186</v>
      </c>
      <c r="K10" s="2246" t="s">
        <v>88</v>
      </c>
      <c r="L10" s="2247"/>
      <c r="M10" s="636" t="s">
        <v>89</v>
      </c>
      <c r="N10" s="1740"/>
      <c r="AM10" s="696">
        <v>23</v>
      </c>
    </row>
    <row s="8491" customFormat="1" customHeight="1" ht="11.25" hidden="1">
      <c r="A11" s="706"/>
      <c r="B11" s="706"/>
      <c r="C11" s="706"/>
      <c r="D11" s="707" t="s">
        <v>187</v>
      </c>
      <c r="E11" s="707" t="s">
        <v>104</v>
      </c>
      <c r="F11" s="707" t="s">
        <v>90</v>
      </c>
      <c r="G11" s="2228" t="s">
        <v>91</v>
      </c>
      <c r="H11" s="2229"/>
      <c r="I11" s="707" t="s">
        <v>118</v>
      </c>
      <c r="J11" s="707" t="s">
        <v>92</v>
      </c>
      <c r="K11" s="2230" t="s">
        <v>93</v>
      </c>
      <c r="L11" s="2231"/>
      <c r="M11" s="707" t="s">
        <v>131</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188</v>
      </c>
      <c r="P12" s="1526" t="s">
        <v>189</v>
      </c>
      <c r="Q12" s="1526" t="s">
        <v>190</v>
      </c>
      <c r="R12" s="1526" t="s">
        <v>191</v>
      </c>
      <c r="AM12" s="696">
        <v>1</v>
      </c>
    </row>
    <row s="8491" customFormat="1" customHeight="1" ht="15.75">
      <c r="A13" s="406"/>
      <c r="B13" s="406"/>
      <c r="C13" s="639"/>
      <c r="D13" s="2221" t="s">
        <v>187</v>
      </c>
      <c r="E13" s="2222"/>
      <c r="F13" s="2225" t="s">
        <v>66</v>
      </c>
      <c r="G13" s="2226"/>
      <c r="H13" s="2227">
        <v>1</v>
      </c>
      <c r="I13" s="2218" t="str">
        <f>IF(U13="","",INDEX(TERRITORY_MR_LIST,MATCH(U13,TERRITORY_LIST_ID,0)))</f>
        <v/>
      </c>
      <c r="J13" s="2220" t="s">
        <v>19</v>
      </c>
      <c r="K13" s="715"/>
      <c r="L13" s="640" t="s">
        <v>187</v>
      </c>
      <c r="M13" s="716" t="s">
        <v>28</v>
      </c>
      <c r="N13" s="925"/>
      <c r="O13" s="1529" t="s">
        <v>192</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193</v>
      </c>
      <c r="Z13" s="717">
        <v>1705000</v>
      </c>
      <c r="AA13" s="717"/>
      <c r="AB13" s="717"/>
      <c r="AC13" s="717"/>
      <c r="AD13" s="717"/>
      <c r="AE13" s="717"/>
      <c r="AF13" s="717"/>
      <c r="AG13" s="717"/>
      <c r="AH13" s="717"/>
      <c r="AI13" s="717"/>
      <c r="AJ13" s="717"/>
      <c r="AK13" s="717"/>
      <c r="AL13" s="717"/>
      <c r="AM13" s="719">
        <v>15</v>
      </c>
    </row>
    <row s="8491" customFormat="1" customHeight="1" ht="15.75">
      <c r="A14" s="406"/>
      <c r="B14" s="406"/>
      <c r="C14" s="289"/>
      <c r="D14" s="2221"/>
      <c r="E14" s="2223"/>
      <c r="F14" s="2220"/>
      <c r="G14" s="2226"/>
      <c r="H14" s="2227"/>
      <c r="I14" s="2219"/>
      <c r="J14" s="2220"/>
      <c r="K14" s="534"/>
      <c r="L14" s="290"/>
      <c r="M14" s="720" t="s">
        <v>194</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8491" customFormat="1" customHeight="1" ht="15.75">
      <c r="A15" s="406"/>
      <c r="B15" s="406"/>
      <c r="C15" s="289"/>
      <c r="D15" s="2221"/>
      <c r="E15" s="2224"/>
      <c r="F15" s="2220"/>
      <c r="G15" s="1173"/>
      <c r="H15" s="1174"/>
      <c r="I15" s="693" t="s">
        <v>195</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196</v>
      </c>
      <c r="F16" s="290"/>
      <c r="G16" s="290"/>
      <c r="H16" s="290"/>
      <c r="I16" s="290"/>
      <c r="J16" s="290"/>
      <c r="K16" s="290" t="s">
        <v>28</v>
      </c>
      <c r="L16" s="290"/>
      <c r="M16" s="721"/>
      <c r="N16" s="1740"/>
      <c r="AM16" s="696">
        <v>15</v>
      </c>
    </row>
    <row customHeight="1" ht="11.25" hidden="1">
      <c r="A17" s="696" t="s">
        <v>82</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A4A4E-F2FE-DD08-A314-69F45D1A60BF}" mc:Ignorable="x14ac xr xr2 xr3">
  <sheetPr>
    <tabColor rgb="FFCCCCFF"/>
  </sheetPr>
  <dimension ref="A1:AR198"/>
  <sheetViews>
    <sheetView topLeftCell="A1" showGridLines="0" zoomScale="90" workbookViewId="0">
      <selection activeCell="J79" sqref="J79:J134"/>
    </sheetView>
  </sheetViews>
  <sheetFormatPr defaultColWidth="9.140625" customHeight="1" defaultRowHeight="11.25"/>
  <cols>
    <col min="1" max="2" style="8454" width="3.7109375" hidden="1" customWidth="1"/>
    <col min="3" max="3" style="8491" width="3.00390625" customWidth="1"/>
    <col min="4" max="4" style="8491" width="6.00390625" customWidth="1"/>
    <col min="5" max="5" style="8491" width="42.00390625" customWidth="1"/>
    <col min="6" max="6" style="8491" width="15.00390625" customWidth="1"/>
    <col min="7" max="7" style="8491" width="42.00390625" customWidth="1"/>
    <col min="8" max="8" style="8491" width="3.00390625" customWidth="1"/>
    <col min="9" max="9" style="8491" width="5.00390625" customWidth="1"/>
    <col min="10" max="10" style="8491" width="47.00390625" customWidth="1"/>
    <col min="11" max="12" style="8491" width="3.00390625" customWidth="1"/>
    <col min="13" max="13" style="8491" width="5.00390625" customWidth="1"/>
    <col min="14" max="14" style="8491" width="28.00390625" customWidth="1"/>
    <col min="15" max="16" style="8491" width="3.00390625" customWidth="1"/>
    <col min="17" max="17" style="8491" width="5.00390625" customWidth="1"/>
    <col min="18" max="18" style="8491" width="34.00390625" customWidth="1"/>
    <col min="19" max="20" style="8491" width="3.7109375" hidden="1" customWidth="1"/>
    <col min="21" max="21" style="8491" width="5.7109375" hidden="1" customWidth="1"/>
    <col min="22" max="22" style="8491" width="34.421875" hidden="1" customWidth="1"/>
    <col min="23" max="23" style="8491" width="30.00390625" customWidth="1"/>
    <col min="24" max="24" style="8491" width="3.00390625" customWidth="1"/>
    <col min="25" max="28" style="8543" width="9.8515625" hidden="1" customWidth="1"/>
    <col min="29" max="29" style="8543" width="27.00390625" hidden="1" customWidth="1"/>
    <col min="30" max="30" style="8543" width="10.57421875" hidden="1" customWidth="1"/>
    <col min="31" max="31" style="8543" width="10.7109375" hidden="1" customWidth="1"/>
    <col min="32" max="32" style="8543" width="10.00390625" hidden="1" customWidth="1"/>
    <col min="33" max="33" style="8543" width="12.8515625" hidden="1" customWidth="1"/>
    <col min="34" max="34" style="8543" width="24.421875" hidden="1" customWidth="1"/>
    <col min="35" max="35" style="8543" width="15.8515625" hidden="1" customWidth="1"/>
    <col min="36" max="36" style="8543" width="19.421875" hidden="1" customWidth="1"/>
    <col min="37" max="37" style="8543" width="11.00390625" hidden="1" customWidth="1"/>
    <col min="38" max="38" style="8543" width="23.57421875" hidden="1" customWidth="1"/>
    <col min="39" max="39" style="8543" width="23.8515625" hidden="1" customWidth="1"/>
    <col min="40" max="40" style="8543" width="25.28125" hidden="1" customWidth="1"/>
    <col min="41" max="41" style="8543" width="16.8515625" hidden="1" customWidth="1"/>
    <col min="42" max="42" style="8543" width="29.57421875" hidden="1" customWidth="1"/>
    <col min="43" max="43" style="8543" width="29.8515625" hidden="1" customWidth="1"/>
    <col min="44" max="44" style="8491" width="9.140625" hidden="1"/>
  </cols>
  <sheetData>
    <row customHeight="1" ht="11.25" hidden="1">
      <c r="A1" s="269"/>
      <c r="AR1" s="217" t="s">
        <v>14</v>
      </c>
    </row>
    <row customHeight="1" ht="11.25" hidden="1">
      <c r="AR2" s="217">
        <v>0</v>
      </c>
    </row>
    <row customHeight="1" ht="11.25" hidden="1">
      <c r="AR3" s="217">
        <v>0</v>
      </c>
    </row>
    <row customHeight="1" ht="3">
      <c r="AR4" s="217">
        <v>3</v>
      </c>
    </row>
    <row s="8462"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8462" customFormat="1" customHeight="1" ht="14.699999999999998">
      <c r="A6" s="698"/>
      <c r="B6" s="698"/>
      <c r="C6" s="698"/>
      <c r="D6" s="2276" t="str">
        <f>IF(org=0,"Не определено",org)</f>
        <v>МУП ЖКХ "Родник"</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8556"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8462"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88</v>
      </c>
      <c r="E9" s="2214" t="s">
        <v>197</v>
      </c>
      <c r="F9" s="2216"/>
      <c r="G9" s="2240" t="s">
        <v>183</v>
      </c>
      <c r="H9" s="2240" t="s">
        <v>88</v>
      </c>
      <c r="I9" s="2240"/>
      <c r="J9" s="2240" t="s">
        <v>198</v>
      </c>
      <c r="K9" s="2268" t="s">
        <v>199</v>
      </c>
      <c r="L9" s="2268"/>
      <c r="M9" s="2268"/>
      <c r="N9" s="2268"/>
      <c r="O9" s="2268" t="s">
        <v>200</v>
      </c>
      <c r="P9" s="2268"/>
      <c r="Q9" s="2268"/>
      <c r="R9" s="2268"/>
      <c r="S9" s="2268" t="s">
        <v>201</v>
      </c>
      <c r="T9" s="2268"/>
      <c r="U9" s="2268"/>
      <c r="V9" s="2268"/>
      <c r="W9" s="2240" t="s">
        <v>202</v>
      </c>
      <c r="AR9" s="217">
        <v>27</v>
      </c>
    </row>
    <row customHeight="1" ht="31.5">
      <c r="D10" s="2240"/>
      <c r="E10" s="1397" t="s">
        <v>89</v>
      </c>
      <c r="F10" s="1397" t="s">
        <v>203</v>
      </c>
      <c r="G10" s="2240"/>
      <c r="H10" s="2240"/>
      <c r="I10" s="2240"/>
      <c r="J10" s="2240"/>
      <c r="K10" s="223" t="s">
        <v>186</v>
      </c>
      <c r="L10" s="2240" t="s">
        <v>88</v>
      </c>
      <c r="M10" s="2240"/>
      <c r="N10" s="223" t="s">
        <v>204</v>
      </c>
      <c r="O10" s="223" t="s">
        <v>186</v>
      </c>
      <c r="P10" s="2240" t="s">
        <v>88</v>
      </c>
      <c r="Q10" s="2240"/>
      <c r="R10" s="223" t="s">
        <v>204</v>
      </c>
      <c r="S10" s="396" t="s">
        <v>186</v>
      </c>
      <c r="T10" s="2240" t="s">
        <v>88</v>
      </c>
      <c r="U10" s="2240"/>
      <c r="V10" s="396" t="s">
        <v>89</v>
      </c>
      <c r="W10" s="2240"/>
      <c r="Z10" s="1372" t="s">
        <v>205</v>
      </c>
      <c r="AA10" s="1372" t="s">
        <v>206</v>
      </c>
      <c r="AB10" s="1372" t="s">
        <v>207</v>
      </c>
      <c r="AC10" s="1372" t="s">
        <v>208</v>
      </c>
      <c r="AD10" s="1372" t="s">
        <v>209</v>
      </c>
      <c r="AE10" s="1372" t="s">
        <v>210</v>
      </c>
      <c r="AF10" s="1372" t="s">
        <v>211</v>
      </c>
      <c r="AG10" s="1372" t="s">
        <v>212</v>
      </c>
      <c r="AH10" s="1372" t="s">
        <v>213</v>
      </c>
      <c r="AI10" s="1372" t="s">
        <v>214</v>
      </c>
      <c r="AJ10" s="1372" t="s">
        <v>215</v>
      </c>
      <c r="AK10" s="1372" t="s">
        <v>216</v>
      </c>
      <c r="AL10" s="1372" t="s">
        <v>217</v>
      </c>
      <c r="AM10" s="1372" t="s">
        <v>218</v>
      </c>
      <c r="AN10" s="1372" t="s">
        <v>219</v>
      </c>
      <c r="AO10" s="1372" t="s">
        <v>220</v>
      </c>
      <c r="AP10" s="1372" t="s">
        <v>221</v>
      </c>
      <c r="AQ10" s="1372" t="s">
        <v>222</v>
      </c>
      <c r="AR10" s="217">
        <v>30</v>
      </c>
    </row>
    <row s="8454" customFormat="1" customHeight="1" ht="12" hidden="1">
      <c r="D11" s="1362" t="s">
        <v>187</v>
      </c>
      <c r="E11" s="1362" t="s">
        <v>104</v>
      </c>
      <c r="F11" s="1362"/>
      <c r="G11" s="1362" t="s">
        <v>90</v>
      </c>
      <c r="H11" s="2269" t="s">
        <v>118</v>
      </c>
      <c r="I11" s="2269"/>
      <c r="J11" s="1362" t="s">
        <v>92</v>
      </c>
      <c r="K11" s="1362" t="s">
        <v>93</v>
      </c>
      <c r="L11" s="2269" t="s">
        <v>131</v>
      </c>
      <c r="M11" s="2269"/>
      <c r="N11" s="1362" t="s">
        <v>136</v>
      </c>
      <c r="O11" s="1362" t="s">
        <v>141</v>
      </c>
      <c r="P11" s="2269" t="s">
        <v>146</v>
      </c>
      <c r="Q11" s="2269"/>
      <c r="R11" s="1362" t="s">
        <v>151</v>
      </c>
      <c r="S11" s="1362" t="s">
        <v>146</v>
      </c>
      <c r="T11" s="2269" t="s">
        <v>151</v>
      </c>
      <c r="U11" s="2269"/>
      <c r="V11" s="1362" t="s">
        <v>156</v>
      </c>
      <c r="W11" s="1362" t="s">
        <v>161</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8491" customFormat="1" customHeight="1" ht="17.25" hidden="1">
      <c r="A13" s="434"/>
      <c r="C13" s="322"/>
      <c r="D13" s="2248">
        <v>1</v>
      </c>
      <c r="E13" s="2256" t="s">
        <v>223</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224</v>
      </c>
      <c r="AD13" s="1380" t="s">
        <v>225</v>
      </c>
      <c r="AE13" s="1380" t="s">
        <v>226</v>
      </c>
      <c r="AF13" s="1380" t="s">
        <v>227</v>
      </c>
      <c r="AG13" s="1380" t="s">
        <v>228</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8491" customFormat="1" customHeight="1" ht="17.25" hidden="1">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8491" customFormat="1" customHeight="1" ht="17.25" hidden="1">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8491" customFormat="1" customHeight="1" ht="17.25" hidden="1">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8491" customFormat="1" customHeight="1" ht="17.25" hidden="1">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8491" customFormat="1" customHeight="1" ht="17.25" hidden="1">
      <c r="A18" s="434"/>
      <c r="C18" s="322"/>
      <c r="D18" s="2248">
        <v>2</v>
      </c>
      <c r="E18" s="2277"/>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229</v>
      </c>
      <c r="AD18" s="1380" t="s">
        <v>230</v>
      </c>
      <c r="AE18" s="1380" t="s">
        <v>231</v>
      </c>
      <c r="AF18" s="1380" t="s">
        <v>232</v>
      </c>
      <c r="AG18" s="1380" t="s">
        <v>233</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8491" customFormat="1" customHeight="1" ht="17.25" hidden="1">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8491" customFormat="1" customHeight="1" ht="17.25" hidden="1">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8491" customFormat="1" customHeight="1" ht="17.25" hidden="1">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8491" customFormat="1" customHeight="1" ht="17.25" hidden="1">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8491" customFormat="1" customHeight="1" ht="17.25" hidden="1">
      <c r="A23" s="434"/>
      <c r="C23" s="322"/>
      <c r="D23" s="2248">
        <v>2</v>
      </c>
      <c r="E23" s="2256" t="s">
        <v>234</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c r="AA23" s="1380"/>
      <c r="AB23" s="1380"/>
      <c r="AC23" s="1380" t="s">
        <v>229</v>
      </c>
      <c r="AD23" s="1380" t="s">
        <v>230</v>
      </c>
      <c r="AE23" s="1380" t="s">
        <v>231</v>
      </c>
      <c r="AF23" s="1380" t="s">
        <v>232</v>
      </c>
      <c r="AG23" s="1380" t="s">
        <v>233</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8491"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8491"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8491"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8491"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8491" customFormat="1" customHeight="1" ht="17.25" hidden="1">
      <c r="A28" s="434"/>
      <c r="C28" s="322"/>
      <c r="D28" s="2248">
        <v>3</v>
      </c>
      <c r="E28" s="2256" t="s">
        <v>235</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236</v>
      </c>
      <c r="AD28" s="1380" t="s">
        <v>237</v>
      </c>
      <c r="AE28" s="1380" t="s">
        <v>238</v>
      </c>
      <c r="AF28" s="1380" t="s">
        <v>239</v>
      </c>
      <c r="AG28" s="1380" t="s">
        <v>240</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8491" customFormat="1" customHeight="1" ht="17.25" hidden="1">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8491" customFormat="1" customHeight="1" ht="17.25" hidden="1">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8491" customFormat="1" customHeight="1" ht="17.25" hidden="1">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8491" customFormat="1" customHeight="1" ht="17.25" hidden="1">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8491" customFormat="1" customHeight="1" ht="17.25" hidden="1">
      <c r="A33" s="434"/>
      <c r="C33" s="322"/>
      <c r="D33" s="2248">
        <v>4</v>
      </c>
      <c r="E33" s="2256" t="s">
        <v>241</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242</v>
      </c>
      <c r="AD33" s="1380" t="s">
        <v>243</v>
      </c>
      <c r="AE33" s="1380" t="s">
        <v>244</v>
      </c>
      <c r="AF33" s="1380" t="s">
        <v>245</v>
      </c>
      <c r="AG33" s="1380" t="s">
        <v>246</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8491" customFormat="1" customHeight="1" ht="17.25" hidden="1">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8491" customFormat="1" customHeight="1" ht="17.25" hidden="1">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8491" customFormat="1" customHeight="1" ht="17.25" hidden="1">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8491" customFormat="1" customHeight="1" ht="17.25" hidden="1">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8491" customFormat="1" customHeight="1" ht="17.25" hidden="1">
      <c r="A38" s="434"/>
      <c r="C38" s="322"/>
      <c r="D38" s="2248">
        <v>5</v>
      </c>
      <c r="E38" s="2256" t="s">
        <v>247</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248</v>
      </c>
      <c r="AD38" s="1380" t="s">
        <v>249</v>
      </c>
      <c r="AE38" s="1380" t="s">
        <v>250</v>
      </c>
      <c r="AF38" s="1380" t="s">
        <v>251</v>
      </c>
      <c r="AG38" s="1380" t="s">
        <v>252</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8491" customFormat="1" customHeight="1" ht="17.25" hidden="1">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8491" customFormat="1" customHeight="1" ht="17.25" hidden="1">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8491" customFormat="1" customHeight="1" ht="17.25" hidden="1">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8491" customFormat="1" customHeight="1" ht="17.25" hidden="1">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8491" customFormat="1" customHeight="1" ht="17.25" hidden="1">
      <c r="A43" s="434"/>
      <c r="C43" s="322"/>
      <c r="D43" s="2248">
        <v>6</v>
      </c>
      <c r="E43" s="2256" t="s">
        <v>253</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254</v>
      </c>
      <c r="AD43" s="1380" t="s">
        <v>255</v>
      </c>
      <c r="AE43" s="1380" t="s">
        <v>256</v>
      </c>
      <c r="AF43" s="1380" t="s">
        <v>257</v>
      </c>
      <c r="AG43" s="1380" t="s">
        <v>258</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8491" customFormat="1" customHeight="1" ht="17.25" hidden="1">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8491" customFormat="1" customHeight="1" ht="17.25" hidden="1">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8491" customFormat="1" customHeight="1" ht="17.25" hidden="1">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8491" customFormat="1" customHeight="1" ht="17.25" hidden="1">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8491" customFormat="1" customHeight="1" ht="17.25" hidden="1">
      <c r="A48" s="434"/>
      <c r="C48" s="322"/>
      <c r="D48" s="2279">
        <v>7</v>
      </c>
      <c r="E48" s="2282" t="s">
        <v>259</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260</v>
      </c>
      <c r="AD48" s="1380" t="s">
        <v>261</v>
      </c>
      <c r="AE48" s="1380" t="s">
        <v>262</v>
      </c>
      <c r="AF48" s="1380" t="s">
        <v>263</v>
      </c>
      <c r="AG48" s="1380" t="s">
        <v>264</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8491" customFormat="1" customHeight="1" ht="17.25" hidden="1">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8491" customFormat="1" customHeight="1" ht="17.25" hidden="1">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8491" customFormat="1" customHeight="1" ht="17.25" hidden="1">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8491" customFormat="1" customHeight="1" ht="17.25" hidden="1">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8491" customFormat="1" customHeight="1" ht="17.25" hidden="1">
      <c r="A53" s="434"/>
      <c r="C53" s="322"/>
      <c r="D53" s="2248">
        <v>8</v>
      </c>
      <c r="E53" s="2256" t="s">
        <v>265</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266</v>
      </c>
      <c r="AD53" s="1380" t="s">
        <v>267</v>
      </c>
      <c r="AE53" s="1380" t="s">
        <v>268</v>
      </c>
      <c r="AF53" s="1380" t="s">
        <v>269</v>
      </c>
      <c r="AG53" s="1380" t="s">
        <v>270</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8491" customFormat="1" customHeight="1" ht="17.25" hidden="1">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8491" customFormat="1" customHeight="1" ht="17.25" hidden="1">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8491" customFormat="1" customHeight="1" ht="17.25" hidden="1">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8491" customFormat="1" customHeight="1" ht="17.25" hidden="1">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8491" customFormat="1" customHeight="1" ht="17.25" hidden="1">
      <c r="A58" s="434"/>
      <c r="C58" s="322"/>
      <c r="D58" s="2248">
        <v>9</v>
      </c>
      <c r="E58" s="2256" t="s">
        <v>271</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272</v>
      </c>
      <c r="AD58" s="1380" t="s">
        <v>273</v>
      </c>
      <c r="AE58" s="1380" t="s">
        <v>274</v>
      </c>
      <c r="AF58" s="1380" t="s">
        <v>275</v>
      </c>
      <c r="AG58" s="1380" t="s">
        <v>276</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8491" customFormat="1" customHeight="1" ht="17.25" hidden="1">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8491" customFormat="1" customHeight="1" ht="17.25" hidden="1">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8491" customFormat="1" customHeight="1" ht="17.25" hidden="1">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8491" customFormat="1" customHeight="1" ht="17.25" hidden="1">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8491" customFormat="1" customHeight="1" ht="17.25" hidden="1">
      <c r="A63" s="434"/>
      <c r="C63" s="322"/>
      <c r="D63" s="2248">
        <v>10</v>
      </c>
      <c r="E63" s="2256" t="s">
        <v>277</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278</v>
      </c>
      <c r="AD63" s="1380" t="s">
        <v>279</v>
      </c>
      <c r="AE63" s="1380" t="s">
        <v>280</v>
      </c>
      <c r="AF63" s="1380" t="s">
        <v>281</v>
      </c>
      <c r="AG63" s="1380" t="s">
        <v>282</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8491"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8491"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8491"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8491"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87" t="s">
        <v>283</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hidden="1">
      <c r="E70" s="2285" t="s">
        <v>284</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hidden="1">
      <c r="E71" s="2285" t="s">
        <v>285</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hidden="1">
      <c r="E72" s="2285" t="s">
        <v>286</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hidden="1">
      <c r="E73" s="2285" t="s">
        <v>287</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87" t="s">
        <v>288</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hidden="1">
      <c r="E76" s="2285" t="s">
        <v>289</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hidden="1">
      <c r="E77" s="2285" t="s">
        <v>290</v>
      </c>
      <c r="F77" s="2285"/>
      <c r="G77" s="2286"/>
      <c r="H77" s="2286"/>
      <c r="I77" s="2286"/>
      <c r="J77" s="2286"/>
      <c r="K77" s="2286"/>
      <c r="L77" s="2286"/>
      <c r="M77" s="2286"/>
      <c r="N77" s="2286"/>
      <c r="O77" s="2286"/>
      <c r="P77" s="2286"/>
      <c r="Q77" s="2286"/>
      <c r="R77" s="2286"/>
      <c r="S77" s="2286"/>
      <c r="T77" s="2286"/>
      <c r="U77" s="2286"/>
      <c r="V77" s="2286"/>
      <c r="W77" s="2286"/>
      <c r="AR77" s="217">
        <v>0</v>
      </c>
    </row>
    <row s="8491"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8491" customFormat="1" customHeight="1" ht="17.25">
      <c r="A79" s="434"/>
      <c r="C79" s="322"/>
      <c r="D79" s="2248">
        <v>1</v>
      </c>
      <c r="E79" s="2256" t="s">
        <v>291</v>
      </c>
      <c r="F79" s="2258" t="s">
        <v>66</v>
      </c>
      <c r="G79" s="3207" t="str">
        <f>INDEX(VD_NAME_LIST,MATCH("4189671",VD_ID_LIST,0))</f>
        <v>Холодное водоснабжение. Питьевая вода</v>
      </c>
      <c r="H79" s="3208"/>
      <c r="I79" s="3208">
        <v>1</v>
      </c>
      <c r="J79" s="3209" t="s">
        <v>292</v>
      </c>
      <c r="K79" s="3210" t="s">
        <v>66</v>
      </c>
      <c r="L79" s="3211"/>
      <c r="M79" s="3211" t="s">
        <v>187</v>
      </c>
      <c r="N79" s="3212" t="str">
        <f>IF(Z79="","",INDEX(TERRITORY_MR_LIST,MATCH(Z79,TERRITORY_LIST_ID,0)))</f>
        <v>Территория 1</v>
      </c>
      <c r="O79" s="3210" t="s">
        <v>19</v>
      </c>
      <c r="P79" s="3211"/>
      <c r="Q79" s="3211" t="s">
        <v>187</v>
      </c>
      <c r="R79" s="3213" t="s">
        <v>28</v>
      </c>
      <c r="S79" s="3214" t="s">
        <v>19</v>
      </c>
      <c r="T79" s="3214"/>
      <c r="U79" s="3214" t="s">
        <v>187</v>
      </c>
      <c r="V79" s="3215"/>
      <c r="W79" s="3209"/>
      <c r="Y79" s="1380"/>
      <c r="Z79" s="1380" t="s">
        <v>98</v>
      </c>
      <c r="AA79" s="1380"/>
      <c r="AB79" s="1380" t="s">
        <v>293</v>
      </c>
      <c r="AC79" s="1380" t="s">
        <v>294</v>
      </c>
      <c r="AD79" s="1380" t="s">
        <v>295</v>
      </c>
      <c r="AE79" s="1380" t="s">
        <v>296</v>
      </c>
      <c r="AF79" s="1380" t="s">
        <v>297</v>
      </c>
      <c r="AG79" s="1380"/>
      <c r="AH79" s="1380" t="str">
        <f>IF($E$79=0,"",$E$79)</f>
        <v>Тариф на питьевую воду (питьевое водоснабжение)</v>
      </c>
      <c r="AI79" s="1380" t="str">
        <f>IF($G$79=0,"",$G$79)</f>
        <v>Холодное водоснабжение. Питьевая вода</v>
      </c>
      <c r="AJ79" s="1380" t="str">
        <f>IF($J$79=0,"",$J$79)</f>
        <v>Питьевая вода</v>
      </c>
      <c r="AK79" s="1380" t="str">
        <f>IF($K$79="нет","без дифференциации",IF($N$79=0,"",$N$79))</f>
        <v>Территория 1</v>
      </c>
      <c r="AL79" s="1380" t="str">
        <f>IF($O$79="нет","без дифференциации",IF($R$79=0,"",$R$79))</f>
        <v>без дифференциации</v>
      </c>
      <c r="AM79" s="1380" t="str">
        <f>IF($S$79="нет","без дифференциации",IF($V$79=0,"",$V$79))</f>
        <v>без дифференциации</v>
      </c>
      <c r="AN79" s="1380">
        <f>$I$79</f>
        <v>1</v>
      </c>
      <c r="AO79" s="1380" t="str">
        <f>$I$79&amp;"."&amp;$M$79</f>
        <v>1.1</v>
      </c>
      <c r="AP79" s="1380" t="str">
        <f>$I$79&amp;"."&amp;$M$79&amp;"."&amp;$Q$79</f>
        <v>1.1.1</v>
      </c>
      <c r="AQ79" s="1380" t="str">
        <f>$I$79&amp;"."&amp;$M$79&amp;"."&amp;$Q$79&amp;"."&amp;$U$79</f>
        <v>1.1.1.1</v>
      </c>
      <c r="AR79" s="1463">
        <v>0</v>
      </c>
    </row>
    <row s="8491" customFormat="1" customHeight="1" ht="17.25">
      <c r="A80" s="434"/>
      <c r="C80" s="433"/>
      <c r="D80" s="2248"/>
      <c r="E80" s="2256"/>
      <c r="F80" s="2259"/>
      <c r="G80" s="3207"/>
      <c r="H80" s="3208"/>
      <c r="I80" s="3208"/>
      <c r="J80" s="3209"/>
      <c r="K80" s="3216"/>
      <c r="L80" s="3211"/>
      <c r="M80" s="3211"/>
      <c r="N80" s="3212"/>
      <c r="O80" s="3216"/>
      <c r="P80" s="3211"/>
      <c r="Q80" s="3211"/>
      <c r="R80" s="3213" t="s">
        <v>28</v>
      </c>
      <c r="S80" s="3214"/>
      <c r="T80" s="3217"/>
      <c r="U80" s="3218"/>
      <c r="V80" s="3218"/>
      <c r="W80" s="3209"/>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8491" customFormat="1" customHeight="1" ht="17.25">
      <c r="A81" s="434"/>
      <c r="C81" s="322"/>
      <c r="D81" s="2248"/>
      <c r="E81" s="2256"/>
      <c r="F81" s="2259"/>
      <c r="G81" s="3207"/>
      <c r="H81" s="3219"/>
      <c r="I81" s="3219"/>
      <c r="J81" s="3220"/>
      <c r="K81" s="3216"/>
      <c r="L81" s="3219"/>
      <c r="M81" s="3219"/>
      <c r="N81" s="3221"/>
      <c r="O81" s="3222"/>
      <c r="P81" s="3223"/>
      <c r="Q81" s="3224"/>
      <c r="R81" s="3225" t="s">
        <v>298</v>
      </c>
      <c r="S81" s="3226"/>
      <c r="T81" s="3227"/>
      <c r="U81" s="3228"/>
      <c r="V81" s="3229"/>
      <c r="W81" s="3230"/>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customHeight="1" ht="17.25">
      <c r="A82" s="1953"/>
      <c r="B82" s="3233"/>
      <c r="C82" s="1955"/>
      <c r="D82" s="1943"/>
      <c r="E82" s="1960"/>
      <c r="F82" s="1897"/>
      <c r="G82" s="1961"/>
      <c r="H82" s="1943"/>
      <c r="I82" s="1943"/>
      <c r="J82" s="1964"/>
      <c r="K82" s="1961"/>
      <c r="L82" s="2221" t="s">
        <v>105</v>
      </c>
      <c r="M82" s="2221" t="s">
        <v>104</v>
      </c>
      <c r="N82" s="2617" t="str">
        <f>IF(Z82="","",INDEX(TERRITORY_MR_LIST,MATCH(Z82,TERRITORY_LIST_ID,0)))</f>
        <v>Территория 2</v>
      </c>
      <c r="O82" s="2298" t="s">
        <v>19</v>
      </c>
      <c r="P82" s="2221"/>
      <c r="Q82" s="2221" t="s">
        <v>187</v>
      </c>
      <c r="R82" s="3241" t="s">
        <v>28</v>
      </c>
      <c r="S82" s="2519" t="s">
        <v>19</v>
      </c>
      <c r="T82" s="1915"/>
      <c r="U82" s="1915" t="s">
        <v>187</v>
      </c>
      <c r="V82" s="1547"/>
      <c r="W82" s="2614"/>
      <c r="X82" s="3233"/>
      <c r="Y82" s="1380"/>
      <c r="Z82" s="1380" t="s">
        <v>106</v>
      </c>
      <c r="AA82" s="1380"/>
      <c r="AB82" s="1380"/>
      <c r="AC82" s="3246" t="s">
        <v>294</v>
      </c>
      <c r="AD82" s="3246" t="s">
        <v>295</v>
      </c>
      <c r="AE82" s="1380" t="s">
        <v>299</v>
      </c>
      <c r="AF82" s="1380" t="s">
        <v>300</v>
      </c>
      <c r="AG82" s="1380" t="s">
        <v>301</v>
      </c>
      <c r="AH82" s="1380" t="str">
        <f>IF($E$79=0,"",$E$79)</f>
        <v>Тариф на питьевую воду (питьевое водоснабжение)</v>
      </c>
      <c r="AI82" s="1380" t="str">
        <f>IF($G$79=0,"",$G$79)</f>
        <v>Холодное водоснабжение. Питьевая вода</v>
      </c>
      <c r="AJ82" s="1380" t="str">
        <f>IF($J$79=0,"",$J$79)</f>
        <v>Питьевая вода</v>
      </c>
      <c r="AK82" s="1380" t="str">
        <f>IF($K$82="нет","без дифференциации",IF($N$82=0,"",$N$82))</f>
        <v>Территория 2</v>
      </c>
      <c r="AL82" s="1957" t="str">
        <f>IF($O$82="нет","без дифференциации",IF($R$82=0,"",$R$82))</f>
        <v>без дифференциации</v>
      </c>
      <c r="AM82" s="1957"/>
      <c r="AN82" s="1380">
        <f>$I$79</f>
        <v>1</v>
      </c>
      <c r="AO82" s="1380" t="str">
        <f>$I$79&amp;"."&amp;$M$82</f>
        <v>1.2</v>
      </c>
      <c r="AP82" s="1380" t="str">
        <f>$I$79&amp;"."&amp;$M$82&amp;"."&amp;$Q$82</f>
        <v>1.2.1</v>
      </c>
      <c r="AQ82" s="1380"/>
      <c r="AR82" s="3233"/>
    </row>
    <row customHeight="1" ht="17.25">
      <c r="A83" s="1953"/>
      <c r="B83" s="3233"/>
      <c r="C83" s="1958"/>
      <c r="D83" s="1943"/>
      <c r="E83" s="1960"/>
      <c r="F83" s="1897"/>
      <c r="G83" s="1961"/>
      <c r="H83" s="1943"/>
      <c r="I83" s="1943"/>
      <c r="J83" s="1964"/>
      <c r="K83" s="1961"/>
      <c r="L83" s="2221"/>
      <c r="M83" s="2221"/>
      <c r="N83" s="2617"/>
      <c r="O83" s="2299"/>
      <c r="P83" s="2221"/>
      <c r="Q83" s="2221"/>
      <c r="R83" s="3241" t="s">
        <v>28</v>
      </c>
      <c r="S83" s="2519"/>
      <c r="T83" s="1548"/>
      <c r="U83" s="1549"/>
      <c r="V83" s="1549"/>
      <c r="W83" s="2614"/>
      <c r="X83" s="3233"/>
      <c r="Y83" s="1372"/>
      <c r="Z83" s="1372"/>
      <c r="AA83" s="1372"/>
      <c r="AB83" s="1372"/>
      <c r="AC83" s="1372"/>
      <c r="AD83" s="1372"/>
      <c r="AE83" s="1372"/>
      <c r="AF83" s="1372"/>
      <c r="AG83" s="1372"/>
      <c r="AH83" s="1372"/>
      <c r="AI83" s="1372"/>
      <c r="AJ83" s="1372"/>
      <c r="AK83" s="1372"/>
      <c r="AL83" s="3233"/>
      <c r="AM83" s="3233"/>
      <c r="AN83" s="3233"/>
      <c r="AO83" s="3233"/>
      <c r="AP83" s="3233"/>
      <c r="AQ83" s="3233"/>
      <c r="AR83" s="3233"/>
    </row>
    <row customHeight="1" ht="17.25">
      <c r="A84" s="1953"/>
      <c r="B84" s="3233"/>
      <c r="C84" s="1958"/>
      <c r="D84" s="1943"/>
      <c r="E84" s="1960"/>
      <c r="F84" s="1897"/>
      <c r="G84" s="1961"/>
      <c r="H84" s="1943"/>
      <c r="I84" s="1943"/>
      <c r="J84" s="1964"/>
      <c r="K84" s="1961"/>
      <c r="L84" s="2616"/>
      <c r="M84" s="2616"/>
      <c r="N84" s="2618"/>
      <c r="O84" s="2225"/>
      <c r="P84" s="430"/>
      <c r="Q84" s="431"/>
      <c r="R84" s="431" t="s">
        <v>298</v>
      </c>
      <c r="S84" s="1959"/>
      <c r="T84" s="1959"/>
      <c r="U84" s="1959"/>
      <c r="V84" s="1959"/>
      <c r="W84" s="1546"/>
      <c r="X84" s="3233"/>
      <c r="Y84" s="1372"/>
      <c r="Z84" s="1372"/>
      <c r="AA84" s="1372"/>
      <c r="AB84" s="1372"/>
      <c r="AC84" s="1372"/>
      <c r="AD84" s="1372"/>
      <c r="AE84" s="1372"/>
      <c r="AF84" s="1372"/>
      <c r="AG84" s="1372"/>
      <c r="AH84" s="1372"/>
      <c r="AI84" s="1372"/>
      <c r="AJ84" s="1372"/>
      <c r="AK84" s="1372"/>
      <c r="AL84" s="3233"/>
      <c r="AM84" s="3233"/>
      <c r="AN84" s="3233"/>
      <c r="AO84" s="3233"/>
      <c r="AP84" s="3233"/>
      <c r="AQ84" s="3233"/>
      <c r="AR84" s="3233"/>
    </row>
    <row customHeight="1" ht="17.25">
      <c r="A85" s="1953"/>
      <c r="B85" s="3233"/>
      <c r="C85" s="1955"/>
      <c r="D85" s="1943"/>
      <c r="E85" s="1960"/>
      <c r="F85" s="1897"/>
      <c r="G85" s="1961"/>
      <c r="H85" s="1943"/>
      <c r="I85" s="1943"/>
      <c r="J85" s="1964"/>
      <c r="K85" s="1961"/>
      <c r="L85" s="2221" t="s">
        <v>105</v>
      </c>
      <c r="M85" s="2221" t="s">
        <v>90</v>
      </c>
      <c r="N85" s="2617" t="str">
        <f>IF(Z85="","",INDEX(TERRITORY_MR_LIST,MATCH(Z85,TERRITORY_LIST_ID,0)))</f>
        <v>Территория 3</v>
      </c>
      <c r="O85" s="2298" t="s">
        <v>19</v>
      </c>
      <c r="P85" s="2221"/>
      <c r="Q85" s="2221" t="s">
        <v>187</v>
      </c>
      <c r="R85" s="3241" t="s">
        <v>28</v>
      </c>
      <c r="S85" s="2519" t="s">
        <v>19</v>
      </c>
      <c r="T85" s="1915"/>
      <c r="U85" s="1915" t="s">
        <v>187</v>
      </c>
      <c r="V85" s="1547"/>
      <c r="W85" s="2614"/>
      <c r="X85" s="3233"/>
      <c r="Y85" s="1380"/>
      <c r="Z85" s="1380" t="s">
        <v>110</v>
      </c>
      <c r="AA85" s="1380"/>
      <c r="AB85" s="1380"/>
      <c r="AC85" s="3246" t="s">
        <v>294</v>
      </c>
      <c r="AD85" s="3246" t="s">
        <v>295</v>
      </c>
      <c r="AE85" s="1380" t="s">
        <v>302</v>
      </c>
      <c r="AF85" s="1380" t="s">
        <v>303</v>
      </c>
      <c r="AG85" s="1380" t="s">
        <v>304</v>
      </c>
      <c r="AH85" s="1380" t="str">
        <f>IF($E$79=0,"",$E$79)</f>
        <v>Тариф на питьевую воду (питьевое водоснабжение)</v>
      </c>
      <c r="AI85" s="1380" t="str">
        <f>IF($G$79=0,"",$G$79)</f>
        <v>Холодное водоснабжение. Питьевая вода</v>
      </c>
      <c r="AJ85" s="1380" t="str">
        <f>IF($J$79=0,"",$J$79)</f>
        <v>Питьевая вода</v>
      </c>
      <c r="AK85" s="1380" t="str">
        <f>IF($K$85="нет","без дифференциации",IF($N$85=0,"",$N$85))</f>
        <v>Территория 3</v>
      </c>
      <c r="AL85" s="1957" t="str">
        <f>IF($O$85="нет","без дифференциации",IF($R$85=0,"",$R$85))</f>
        <v>без дифференциации</v>
      </c>
      <c r="AM85" s="1957"/>
      <c r="AN85" s="1380">
        <f>$I$79</f>
        <v>1</v>
      </c>
      <c r="AO85" s="1380" t="str">
        <f>$I$79&amp;"."&amp;$M$85</f>
        <v>1.3</v>
      </c>
      <c r="AP85" s="1380" t="str">
        <f>$I$79&amp;"."&amp;$M$85&amp;"."&amp;$Q$85</f>
        <v>1.3.1</v>
      </c>
      <c r="AQ85" s="1380"/>
      <c r="AR85" s="3233"/>
    </row>
    <row customHeight="1" ht="17.25">
      <c r="A86" s="1953"/>
      <c r="B86" s="3233"/>
      <c r="C86" s="1958"/>
      <c r="D86" s="1943"/>
      <c r="E86" s="1960"/>
      <c r="F86" s="1897"/>
      <c r="G86" s="1961"/>
      <c r="H86" s="1943"/>
      <c r="I86" s="1943"/>
      <c r="J86" s="1964"/>
      <c r="K86" s="1961"/>
      <c r="L86" s="2221"/>
      <c r="M86" s="2221"/>
      <c r="N86" s="2617"/>
      <c r="O86" s="2299"/>
      <c r="P86" s="2221"/>
      <c r="Q86" s="2221"/>
      <c r="R86" s="3241" t="s">
        <v>28</v>
      </c>
      <c r="S86" s="2519"/>
      <c r="T86" s="1548"/>
      <c r="U86" s="1549"/>
      <c r="V86" s="1549"/>
      <c r="W86" s="2614"/>
      <c r="X86" s="3233"/>
      <c r="Y86" s="1372"/>
      <c r="Z86" s="1372"/>
      <c r="AA86" s="1372"/>
      <c r="AB86" s="1372"/>
      <c r="AC86" s="1372"/>
      <c r="AD86" s="1372"/>
      <c r="AE86" s="1372"/>
      <c r="AF86" s="1372"/>
      <c r="AG86" s="1372"/>
      <c r="AH86" s="1372"/>
      <c r="AI86" s="1372"/>
      <c r="AJ86" s="1372"/>
      <c r="AK86" s="1372"/>
      <c r="AL86" s="3233"/>
      <c r="AM86" s="3233"/>
      <c r="AN86" s="3233"/>
      <c r="AO86" s="3233"/>
      <c r="AP86" s="3233"/>
      <c r="AQ86" s="3233"/>
      <c r="AR86" s="3233"/>
    </row>
    <row customHeight="1" ht="17.25">
      <c r="A87" s="1953"/>
      <c r="B87" s="3233"/>
      <c r="C87" s="1958"/>
      <c r="D87" s="1943"/>
      <c r="E87" s="1960"/>
      <c r="F87" s="1897"/>
      <c r="G87" s="1961"/>
      <c r="H87" s="1943"/>
      <c r="I87" s="1943"/>
      <c r="J87" s="1964"/>
      <c r="K87" s="1961"/>
      <c r="L87" s="2616"/>
      <c r="M87" s="2616"/>
      <c r="N87" s="2618"/>
      <c r="O87" s="2225"/>
      <c r="P87" s="430"/>
      <c r="Q87" s="431"/>
      <c r="R87" s="431" t="s">
        <v>298</v>
      </c>
      <c r="S87" s="1959"/>
      <c r="T87" s="1959"/>
      <c r="U87" s="1959"/>
      <c r="V87" s="1959"/>
      <c r="W87" s="1546"/>
      <c r="X87" s="3233"/>
      <c r="Y87" s="1372"/>
      <c r="Z87" s="1372"/>
      <c r="AA87" s="1372"/>
      <c r="AB87" s="1372"/>
      <c r="AC87" s="1372"/>
      <c r="AD87" s="1372"/>
      <c r="AE87" s="1372"/>
      <c r="AF87" s="1372"/>
      <c r="AG87" s="1372"/>
      <c r="AH87" s="1372"/>
      <c r="AI87" s="1372"/>
      <c r="AJ87" s="1372"/>
      <c r="AK87" s="1372"/>
      <c r="AL87" s="3233"/>
      <c r="AM87" s="3233"/>
      <c r="AN87" s="3233"/>
      <c r="AO87" s="3233"/>
      <c r="AP87" s="3233"/>
      <c r="AQ87" s="3233"/>
      <c r="AR87" s="3233"/>
    </row>
    <row customHeight="1" ht="17.25">
      <c r="A88" s="1953"/>
      <c r="B88" s="3233"/>
      <c r="C88" s="1955"/>
      <c r="D88" s="1943"/>
      <c r="E88" s="1960"/>
      <c r="F88" s="1897"/>
      <c r="G88" s="1961"/>
      <c r="H88" s="1943"/>
      <c r="I88" s="1943"/>
      <c r="J88" s="1964"/>
      <c r="K88" s="1961"/>
      <c r="L88" s="2221" t="s">
        <v>105</v>
      </c>
      <c r="M88" s="2221" t="s">
        <v>91</v>
      </c>
      <c r="N88" s="2617" t="str">
        <f>IF(Z88="","",INDEX(TERRITORY_MR_LIST,MATCH(Z88,TERRITORY_LIST_ID,0)))</f>
        <v>Территория 4</v>
      </c>
      <c r="O88" s="2298" t="s">
        <v>19</v>
      </c>
      <c r="P88" s="2221"/>
      <c r="Q88" s="2221" t="s">
        <v>187</v>
      </c>
      <c r="R88" s="3241" t="s">
        <v>28</v>
      </c>
      <c r="S88" s="2519" t="s">
        <v>19</v>
      </c>
      <c r="T88" s="1915"/>
      <c r="U88" s="1915" t="s">
        <v>187</v>
      </c>
      <c r="V88" s="1547"/>
      <c r="W88" s="2614"/>
      <c r="X88" s="3233"/>
      <c r="Y88" s="1380"/>
      <c r="Z88" s="1380" t="s">
        <v>114</v>
      </c>
      <c r="AA88" s="1380"/>
      <c r="AB88" s="1380"/>
      <c r="AC88" s="3246" t="s">
        <v>294</v>
      </c>
      <c r="AD88" s="3246" t="s">
        <v>295</v>
      </c>
      <c r="AE88" s="1380" t="s">
        <v>305</v>
      </c>
      <c r="AF88" s="1380" t="s">
        <v>306</v>
      </c>
      <c r="AG88" s="1380" t="s">
        <v>307</v>
      </c>
      <c r="AH88" s="1380" t="str">
        <f>IF($E$79=0,"",$E$79)</f>
        <v>Тариф на питьевую воду (питьевое водоснабжение)</v>
      </c>
      <c r="AI88" s="1380" t="str">
        <f>IF($G$79=0,"",$G$79)</f>
        <v>Холодное водоснабжение. Питьевая вода</v>
      </c>
      <c r="AJ88" s="1380" t="str">
        <f>IF($J$79=0,"",$J$79)</f>
        <v>Питьевая вода</v>
      </c>
      <c r="AK88" s="1380" t="str">
        <f>IF($K$88="нет","без дифференциации",IF($N$88=0,"",$N$88))</f>
        <v>Территория 4</v>
      </c>
      <c r="AL88" s="1957" t="str">
        <f>IF($O$88="нет","без дифференциации",IF($R$88=0,"",$R$88))</f>
        <v>без дифференциации</v>
      </c>
      <c r="AM88" s="1957"/>
      <c r="AN88" s="1380">
        <f>$I$79</f>
        <v>1</v>
      </c>
      <c r="AO88" s="1380" t="str">
        <f>$I$79&amp;"."&amp;$M$88</f>
        <v>1.4</v>
      </c>
      <c r="AP88" s="1380" t="str">
        <f>$I$79&amp;"."&amp;$M$88&amp;"."&amp;$Q$88</f>
        <v>1.4.1</v>
      </c>
      <c r="AQ88" s="1380"/>
      <c r="AR88" s="3233"/>
    </row>
    <row customHeight="1" ht="17.25">
      <c r="A89" s="1953"/>
      <c r="B89" s="3233"/>
      <c r="C89" s="1958"/>
      <c r="D89" s="1943"/>
      <c r="E89" s="1960"/>
      <c r="F89" s="1897"/>
      <c r="G89" s="1961"/>
      <c r="H89" s="1943"/>
      <c r="I89" s="1943"/>
      <c r="J89" s="1964"/>
      <c r="K89" s="1961"/>
      <c r="L89" s="2221"/>
      <c r="M89" s="2221"/>
      <c r="N89" s="2617"/>
      <c r="O89" s="2299"/>
      <c r="P89" s="2221"/>
      <c r="Q89" s="2221"/>
      <c r="R89" s="3241" t="s">
        <v>28</v>
      </c>
      <c r="S89" s="2519"/>
      <c r="T89" s="1548"/>
      <c r="U89" s="1549"/>
      <c r="V89" s="1549"/>
      <c r="W89" s="2614"/>
      <c r="X89" s="3233"/>
      <c r="Y89" s="1372"/>
      <c r="Z89" s="1372"/>
      <c r="AA89" s="1372"/>
      <c r="AB89" s="1372"/>
      <c r="AC89" s="1372"/>
      <c r="AD89" s="1372"/>
      <c r="AE89" s="1372"/>
      <c r="AF89" s="1372"/>
      <c r="AG89" s="1372"/>
      <c r="AH89" s="1372"/>
      <c r="AI89" s="1372"/>
      <c r="AJ89" s="1372"/>
      <c r="AK89" s="1372"/>
      <c r="AL89" s="3233"/>
      <c r="AM89" s="3233"/>
      <c r="AN89" s="3233"/>
      <c r="AO89" s="3233"/>
      <c r="AP89" s="3233"/>
      <c r="AQ89" s="3233"/>
      <c r="AR89" s="3233"/>
    </row>
    <row customHeight="1" ht="17.25">
      <c r="A90" s="1953"/>
      <c r="B90" s="3233"/>
      <c r="C90" s="1958"/>
      <c r="D90" s="1943"/>
      <c r="E90" s="1960"/>
      <c r="F90" s="1897"/>
      <c r="G90" s="1961"/>
      <c r="H90" s="1943"/>
      <c r="I90" s="1943"/>
      <c r="J90" s="1964"/>
      <c r="K90" s="1961"/>
      <c r="L90" s="2616"/>
      <c r="M90" s="2616"/>
      <c r="N90" s="2618"/>
      <c r="O90" s="2225"/>
      <c r="P90" s="430"/>
      <c r="Q90" s="431"/>
      <c r="R90" s="431" t="s">
        <v>298</v>
      </c>
      <c r="S90" s="1959"/>
      <c r="T90" s="1959"/>
      <c r="U90" s="1959"/>
      <c r="V90" s="1959"/>
      <c r="W90" s="1546"/>
      <c r="X90" s="3233"/>
      <c r="Y90" s="1372"/>
      <c r="Z90" s="1372"/>
      <c r="AA90" s="1372"/>
      <c r="AB90" s="1372"/>
      <c r="AC90" s="1372"/>
      <c r="AD90" s="1372"/>
      <c r="AE90" s="1372"/>
      <c r="AF90" s="1372"/>
      <c r="AG90" s="1372"/>
      <c r="AH90" s="1372"/>
      <c r="AI90" s="1372"/>
      <c r="AJ90" s="1372"/>
      <c r="AK90" s="1372"/>
      <c r="AL90" s="3233"/>
      <c r="AM90" s="3233"/>
      <c r="AN90" s="3233"/>
      <c r="AO90" s="3233"/>
      <c r="AP90" s="3233"/>
      <c r="AQ90" s="3233"/>
      <c r="AR90" s="3233"/>
    </row>
    <row customHeight="1" ht="17.25">
      <c r="A91" s="1953"/>
      <c r="B91" s="3233"/>
      <c r="C91" s="1955"/>
      <c r="D91" s="1943"/>
      <c r="E91" s="1960"/>
      <c r="F91" s="1897"/>
      <c r="G91" s="1961"/>
      <c r="H91" s="1943"/>
      <c r="I91" s="1943"/>
      <c r="J91" s="1964"/>
      <c r="K91" s="1961"/>
      <c r="L91" s="2221" t="s">
        <v>105</v>
      </c>
      <c r="M91" s="2221" t="s">
        <v>118</v>
      </c>
      <c r="N91" s="2617" t="str">
        <f>IF(Z91="","",INDEX(TERRITORY_MR_LIST,MATCH(Z91,TERRITORY_LIST_ID,0)))</f>
        <v>Территория 5</v>
      </c>
      <c r="O91" s="2298" t="s">
        <v>19</v>
      </c>
      <c r="P91" s="2221"/>
      <c r="Q91" s="2221" t="s">
        <v>187</v>
      </c>
      <c r="R91" s="3241" t="s">
        <v>28</v>
      </c>
      <c r="S91" s="2519" t="s">
        <v>19</v>
      </c>
      <c r="T91" s="1915"/>
      <c r="U91" s="1915" t="s">
        <v>187</v>
      </c>
      <c r="V91" s="1547"/>
      <c r="W91" s="2614"/>
      <c r="X91" s="3233"/>
      <c r="Y91" s="1380"/>
      <c r="Z91" s="1380" t="s">
        <v>119</v>
      </c>
      <c r="AA91" s="1380"/>
      <c r="AB91" s="1380"/>
      <c r="AC91" s="3246" t="s">
        <v>294</v>
      </c>
      <c r="AD91" s="3246" t="s">
        <v>295</v>
      </c>
      <c r="AE91" s="1380" t="s">
        <v>308</v>
      </c>
      <c r="AF91" s="1380" t="s">
        <v>309</v>
      </c>
      <c r="AG91" s="1380" t="s">
        <v>310</v>
      </c>
      <c r="AH91" s="1380" t="str">
        <f>IF($E$79=0,"",$E$79)</f>
        <v>Тариф на питьевую воду (питьевое водоснабжение)</v>
      </c>
      <c r="AI91" s="1380" t="str">
        <f>IF($G$79=0,"",$G$79)</f>
        <v>Холодное водоснабжение. Питьевая вода</v>
      </c>
      <c r="AJ91" s="1380" t="str">
        <f>IF($J$79=0,"",$J$79)</f>
        <v>Питьевая вода</v>
      </c>
      <c r="AK91" s="1380" t="str">
        <f>IF($K$91="нет","без дифференциации",IF($N$91=0,"",$N$91))</f>
        <v>Территория 5</v>
      </c>
      <c r="AL91" s="1957" t="str">
        <f>IF($O$91="нет","без дифференциации",IF($R$91=0,"",$R$91))</f>
        <v>без дифференциации</v>
      </c>
      <c r="AM91" s="1957"/>
      <c r="AN91" s="1380">
        <f>$I$79</f>
        <v>1</v>
      </c>
      <c r="AO91" s="1380" t="str">
        <f>$I$79&amp;"."&amp;$M$91</f>
        <v>1.5</v>
      </c>
      <c r="AP91" s="1380" t="str">
        <f>$I$79&amp;"."&amp;$M$91&amp;"."&amp;$Q$91</f>
        <v>1.5.1</v>
      </c>
      <c r="AQ91" s="1380"/>
      <c r="AR91" s="3233"/>
    </row>
    <row customHeight="1" ht="17.25">
      <c r="A92" s="1953"/>
      <c r="B92" s="3233"/>
      <c r="C92" s="1958"/>
      <c r="D92" s="1943"/>
      <c r="E92" s="1960"/>
      <c r="F92" s="1897"/>
      <c r="G92" s="1961"/>
      <c r="H92" s="1943"/>
      <c r="I92" s="1943"/>
      <c r="J92" s="1964"/>
      <c r="K92" s="1961"/>
      <c r="L92" s="2221"/>
      <c r="M92" s="2221"/>
      <c r="N92" s="2617"/>
      <c r="O92" s="2299"/>
      <c r="P92" s="2221"/>
      <c r="Q92" s="2221"/>
      <c r="R92" s="3241" t="s">
        <v>28</v>
      </c>
      <c r="S92" s="2519"/>
      <c r="T92" s="1548"/>
      <c r="U92" s="1549"/>
      <c r="V92" s="1549"/>
      <c r="W92" s="2614"/>
      <c r="X92" s="3233"/>
      <c r="Y92" s="1372"/>
      <c r="Z92" s="1372"/>
      <c r="AA92" s="1372"/>
      <c r="AB92" s="1372"/>
      <c r="AC92" s="1372"/>
      <c r="AD92" s="1372"/>
      <c r="AE92" s="1372"/>
      <c r="AF92" s="1372"/>
      <c r="AG92" s="1372"/>
      <c r="AH92" s="1372"/>
      <c r="AI92" s="1372"/>
      <c r="AJ92" s="1372"/>
      <c r="AK92" s="1372"/>
      <c r="AL92" s="3233"/>
      <c r="AM92" s="3233"/>
      <c r="AN92" s="3233"/>
      <c r="AO92" s="3233"/>
      <c r="AP92" s="3233"/>
      <c r="AQ92" s="3233"/>
      <c r="AR92" s="3233"/>
    </row>
    <row customHeight="1" ht="17.25">
      <c r="A93" s="1953"/>
      <c r="B93" s="3233"/>
      <c r="C93" s="1958"/>
      <c r="D93" s="1943"/>
      <c r="E93" s="1960"/>
      <c r="F93" s="1897"/>
      <c r="G93" s="1961"/>
      <c r="H93" s="1943"/>
      <c r="I93" s="1943"/>
      <c r="J93" s="1964"/>
      <c r="K93" s="1961"/>
      <c r="L93" s="2616"/>
      <c r="M93" s="2616"/>
      <c r="N93" s="2618"/>
      <c r="O93" s="2225"/>
      <c r="P93" s="430"/>
      <c r="Q93" s="431"/>
      <c r="R93" s="431" t="s">
        <v>298</v>
      </c>
      <c r="S93" s="1959"/>
      <c r="T93" s="1959"/>
      <c r="U93" s="1959"/>
      <c r="V93" s="1959"/>
      <c r="W93" s="1546"/>
      <c r="X93" s="3233"/>
      <c r="Y93" s="1372"/>
      <c r="Z93" s="1372"/>
      <c r="AA93" s="1372"/>
      <c r="AB93" s="1372"/>
      <c r="AC93" s="1372"/>
      <c r="AD93" s="1372"/>
      <c r="AE93" s="1372"/>
      <c r="AF93" s="1372"/>
      <c r="AG93" s="1372"/>
      <c r="AH93" s="1372"/>
      <c r="AI93" s="1372"/>
      <c r="AJ93" s="1372"/>
      <c r="AK93" s="1372"/>
      <c r="AL93" s="3233"/>
      <c r="AM93" s="3233"/>
      <c r="AN93" s="3233"/>
      <c r="AO93" s="3233"/>
      <c r="AP93" s="3233"/>
      <c r="AQ93" s="3233"/>
      <c r="AR93" s="3233"/>
    </row>
    <row customHeight="1" ht="17.25">
      <c r="A94" s="1953"/>
      <c r="B94" s="3233"/>
      <c r="C94" s="1955"/>
      <c r="D94" s="1943"/>
      <c r="E94" s="1960"/>
      <c r="F94" s="1897"/>
      <c r="G94" s="1961"/>
      <c r="H94" s="1943"/>
      <c r="I94" s="1943"/>
      <c r="J94" s="1964"/>
      <c r="K94" s="1961"/>
      <c r="L94" s="2221" t="s">
        <v>105</v>
      </c>
      <c r="M94" s="2221" t="s">
        <v>92</v>
      </c>
      <c r="N94" s="2617" t="str">
        <f>IF(Z94="","",INDEX(TERRITORY_MR_LIST,MATCH(Z94,TERRITORY_LIST_ID,0)))</f>
        <v>Территория 6</v>
      </c>
      <c r="O94" s="2298" t="s">
        <v>66</v>
      </c>
      <c r="P94" s="2221"/>
      <c r="Q94" s="2221" t="s">
        <v>187</v>
      </c>
      <c r="R94" s="2615" t="s">
        <v>311</v>
      </c>
      <c r="S94" s="2519" t="s">
        <v>19</v>
      </c>
      <c r="T94" s="1915"/>
      <c r="U94" s="1915" t="s">
        <v>187</v>
      </c>
      <c r="V94" s="1547"/>
      <c r="W94" s="2614"/>
      <c r="X94" s="3233"/>
      <c r="Y94" s="1380"/>
      <c r="Z94" s="1380" t="s">
        <v>123</v>
      </c>
      <c r="AA94" s="1380"/>
      <c r="AB94" s="1380"/>
      <c r="AC94" s="3246" t="s">
        <v>294</v>
      </c>
      <c r="AD94" s="3246" t="s">
        <v>295</v>
      </c>
      <c r="AE94" s="1380" t="s">
        <v>312</v>
      </c>
      <c r="AF94" s="1380" t="s">
        <v>313</v>
      </c>
      <c r="AG94" s="1380" t="s">
        <v>314</v>
      </c>
      <c r="AH94" s="1380" t="str">
        <f>IF($E$79=0,"",$E$79)</f>
        <v>Тариф на питьевую воду (питьевое водоснабжение)</v>
      </c>
      <c r="AI94" s="1380" t="str">
        <f>IF($G$79=0,"",$G$79)</f>
        <v>Холодное водоснабжение. Питьевая вода</v>
      </c>
      <c r="AJ94" s="1380" t="str">
        <f>IF($J$79=0,"",$J$79)</f>
        <v>Питьевая вода</v>
      </c>
      <c r="AK94" s="1380" t="str">
        <f>IF($K$94="нет","без дифференциации",IF($N$94=0,"",$N$94))</f>
        <v>Территория 6</v>
      </c>
      <c r="AL94" s="1957" t="str">
        <f>IF($O$94="нет","без дифференциации",IF($R$94=0,"",$R$94))</f>
        <v>п. им. Маршала Жукова</v>
      </c>
      <c r="AM94" s="1957"/>
      <c r="AN94" s="1380">
        <f>$I$79</f>
        <v>1</v>
      </c>
      <c r="AO94" s="1380" t="str">
        <f>$I$79&amp;"."&amp;$M$94</f>
        <v>1.6</v>
      </c>
      <c r="AP94" s="1380" t="str">
        <f>$I$79&amp;"."&amp;$M$94&amp;"."&amp;$Q$94</f>
        <v>1.6.1</v>
      </c>
      <c r="AQ94" s="1380"/>
      <c r="AR94" s="3233"/>
    </row>
    <row customHeight="1" ht="17.25">
      <c r="A95" s="1953"/>
      <c r="B95" s="3233"/>
      <c r="C95" s="1958"/>
      <c r="D95" s="1943"/>
      <c r="E95" s="1960"/>
      <c r="F95" s="1897"/>
      <c r="G95" s="1961"/>
      <c r="H95" s="1943"/>
      <c r="I95" s="1943"/>
      <c r="J95" s="1964"/>
      <c r="K95" s="1961"/>
      <c r="L95" s="2221"/>
      <c r="M95" s="2221"/>
      <c r="N95" s="2617"/>
      <c r="O95" s="2299"/>
      <c r="P95" s="2221"/>
      <c r="Q95" s="2221"/>
      <c r="R95" s="2615"/>
      <c r="S95" s="2519"/>
      <c r="T95" s="1548"/>
      <c r="U95" s="1549"/>
      <c r="V95" s="1549"/>
      <c r="W95" s="2614"/>
      <c r="X95" s="3233"/>
      <c r="Y95" s="1372"/>
      <c r="Z95" s="1372"/>
      <c r="AA95" s="1372"/>
      <c r="AB95" s="1372"/>
      <c r="AC95" s="1372"/>
      <c r="AD95" s="1372"/>
      <c r="AE95" s="1372"/>
      <c r="AF95" s="1372"/>
      <c r="AG95" s="1372"/>
      <c r="AH95" s="1372"/>
      <c r="AI95" s="1372"/>
      <c r="AJ95" s="1372"/>
      <c r="AK95" s="1372"/>
      <c r="AL95" s="3233"/>
      <c r="AM95" s="3233"/>
      <c r="AN95" s="3233"/>
      <c r="AO95" s="3233"/>
      <c r="AP95" s="3233"/>
      <c r="AQ95" s="3233"/>
      <c r="AR95" s="3233"/>
    </row>
    <row customHeight="1" ht="17.25">
      <c r="A96" s="1953"/>
      <c r="B96" s="3233"/>
      <c r="C96" s="1955"/>
      <c r="D96" s="1943"/>
      <c r="E96" s="1960"/>
      <c r="F96" s="1897"/>
      <c r="G96" s="1961"/>
      <c r="H96" s="1943"/>
      <c r="I96" s="1943"/>
      <c r="J96" s="1964"/>
      <c r="K96" s="1961"/>
      <c r="L96" s="1943"/>
      <c r="M96" s="1943"/>
      <c r="N96" s="2161"/>
      <c r="O96" s="1900"/>
      <c r="P96" s="2221" t="s">
        <v>105</v>
      </c>
      <c r="Q96" s="2221" t="s">
        <v>104</v>
      </c>
      <c r="R96" s="2615" t="s">
        <v>315</v>
      </c>
      <c r="S96" s="2519" t="s">
        <v>19</v>
      </c>
      <c r="T96" s="1915"/>
      <c r="U96" s="1915" t="s">
        <v>187</v>
      </c>
      <c r="V96" s="1547"/>
      <c r="W96" s="2614"/>
      <c r="X96" s="3233"/>
      <c r="Y96" s="1380"/>
      <c r="Z96" s="1380"/>
      <c r="AA96" s="1380"/>
      <c r="AB96" s="1380"/>
      <c r="AC96" s="3246" t="s">
        <v>294</v>
      </c>
      <c r="AD96" s="3246" t="s">
        <v>295</v>
      </c>
      <c r="AE96" s="3246" t="s">
        <v>312</v>
      </c>
      <c r="AF96" s="1380" t="s">
        <v>316</v>
      </c>
      <c r="AG96" s="1380" t="s">
        <v>317</v>
      </c>
      <c r="AH96" s="1380" t="str">
        <f>IF($E$79=0,"",$E$79)</f>
        <v>Тариф на питьевую воду (питьевое водоснабжение)</v>
      </c>
      <c r="AI96" s="1380" t="str">
        <f>IF($G$79=0,"",$G$79)</f>
        <v>Холодное водоснабжение. Питьевая вода</v>
      </c>
      <c r="AJ96" s="1380" t="str">
        <f>IF($J$79=0,"",$J$79)</f>
        <v>Питьевая вода</v>
      </c>
      <c r="AK96" s="1380" t="str">
        <f>IF($K$94="нет","без дифференциации",IF($N$94=0,"",$N$94))</f>
        <v>Территория 6</v>
      </c>
      <c r="AL96" s="1957" t="str">
        <f>IF($O$96="нет","без дифференциации",IF($R$96=0,"",$R$96))</f>
        <v>кроме п. им. Маршала Жукова</v>
      </c>
      <c r="AM96" s="1957"/>
      <c r="AN96" s="1380">
        <f>$I$79</f>
        <v>1</v>
      </c>
      <c r="AO96" s="1380" t="str">
        <f>$I$79&amp;"."&amp;$M$94</f>
        <v>1.6</v>
      </c>
      <c r="AP96" s="1380" t="str">
        <f>$I$79&amp;"."&amp;$M$94&amp;"."&amp;$Q$96</f>
        <v>1.6.2</v>
      </c>
      <c r="AQ96" s="1380"/>
      <c r="AR96" s="3233"/>
    </row>
    <row customHeight="1" ht="17.25">
      <c r="A97" s="1953"/>
      <c r="B97" s="3233"/>
      <c r="C97" s="1958"/>
      <c r="D97" s="1943"/>
      <c r="E97" s="1960"/>
      <c r="F97" s="1897"/>
      <c r="G97" s="1961"/>
      <c r="H97" s="1943"/>
      <c r="I97" s="1943"/>
      <c r="J97" s="1964"/>
      <c r="K97" s="1961"/>
      <c r="L97" s="1943"/>
      <c r="M97" s="1943"/>
      <c r="N97" s="2161"/>
      <c r="O97" s="1900"/>
      <c r="P97" s="2221"/>
      <c r="Q97" s="2221"/>
      <c r="R97" s="2615"/>
      <c r="S97" s="2519"/>
      <c r="T97" s="1548"/>
      <c r="U97" s="1549"/>
      <c r="V97" s="1549"/>
      <c r="W97" s="2614"/>
      <c r="X97" s="3233"/>
      <c r="Y97" s="1372"/>
      <c r="Z97" s="1372"/>
      <c r="AA97" s="1372"/>
      <c r="AB97" s="1372"/>
      <c r="AC97" s="1372"/>
      <c r="AD97" s="1372"/>
      <c r="AE97" s="1372"/>
      <c r="AF97" s="1372"/>
      <c r="AG97" s="1372"/>
      <c r="AH97" s="1372"/>
      <c r="AI97" s="1372"/>
      <c r="AJ97" s="1372"/>
      <c r="AK97" s="1372"/>
      <c r="AL97" s="3233"/>
      <c r="AM97" s="3233"/>
      <c r="AN97" s="3233"/>
      <c r="AO97" s="3233"/>
      <c r="AP97" s="3233"/>
      <c r="AQ97" s="3233"/>
      <c r="AR97" s="3233"/>
    </row>
    <row customHeight="1" ht="17.25">
      <c r="A98" s="1953"/>
      <c r="B98" s="3233"/>
      <c r="C98" s="1958"/>
      <c r="D98" s="1943"/>
      <c r="E98" s="1960"/>
      <c r="F98" s="1897"/>
      <c r="G98" s="1961"/>
      <c r="H98" s="1943"/>
      <c r="I98" s="1943"/>
      <c r="J98" s="1964"/>
      <c r="K98" s="1961"/>
      <c r="L98" s="2616"/>
      <c r="M98" s="2616"/>
      <c r="N98" s="2618"/>
      <c r="O98" s="2225"/>
      <c r="P98" s="430"/>
      <c r="Q98" s="431"/>
      <c r="R98" s="431" t="s">
        <v>298</v>
      </c>
      <c r="S98" s="1959"/>
      <c r="T98" s="1959"/>
      <c r="U98" s="1959"/>
      <c r="V98" s="1959"/>
      <c r="W98" s="1546"/>
      <c r="X98" s="3233"/>
      <c r="Y98" s="1372"/>
      <c r="Z98" s="1372"/>
      <c r="AA98" s="1372"/>
      <c r="AB98" s="1372"/>
      <c r="AC98" s="1372"/>
      <c r="AD98" s="1372"/>
      <c r="AE98" s="1372"/>
      <c r="AF98" s="1372"/>
      <c r="AG98" s="1372"/>
      <c r="AH98" s="1372"/>
      <c r="AI98" s="1372"/>
      <c r="AJ98" s="1372"/>
      <c r="AK98" s="1372"/>
      <c r="AL98" s="3233"/>
      <c r="AM98" s="3233"/>
      <c r="AN98" s="3233"/>
      <c r="AO98" s="3233"/>
      <c r="AP98" s="3233"/>
      <c r="AQ98" s="3233"/>
      <c r="AR98" s="3233"/>
    </row>
    <row customHeight="1" ht="17.25">
      <c r="A99" s="1953"/>
      <c r="B99" s="3233"/>
      <c r="C99" s="1955"/>
      <c r="D99" s="1943"/>
      <c r="E99" s="1960"/>
      <c r="F99" s="1897"/>
      <c r="G99" s="1961"/>
      <c r="H99" s="1943"/>
      <c r="I99" s="1943"/>
      <c r="J99" s="1964"/>
      <c r="K99" s="1961"/>
      <c r="L99" s="2221" t="s">
        <v>105</v>
      </c>
      <c r="M99" s="2221" t="s">
        <v>93</v>
      </c>
      <c r="N99" s="2617" t="str">
        <f>IF(Z99="","",INDEX(TERRITORY_MR_LIST,MATCH(Z99,TERRITORY_LIST_ID,0)))</f>
        <v>Территория 7</v>
      </c>
      <c r="O99" s="2298" t="s">
        <v>19</v>
      </c>
      <c r="P99" s="2221"/>
      <c r="Q99" s="2221" t="s">
        <v>187</v>
      </c>
      <c r="R99" s="3241" t="s">
        <v>28</v>
      </c>
      <c r="S99" s="2519" t="s">
        <v>19</v>
      </c>
      <c r="T99" s="1915"/>
      <c r="U99" s="1915" t="s">
        <v>187</v>
      </c>
      <c r="V99" s="1547"/>
      <c r="W99" s="2614"/>
      <c r="X99" s="3233"/>
      <c r="Y99" s="1380"/>
      <c r="Z99" s="1380" t="s">
        <v>127</v>
      </c>
      <c r="AA99" s="1380"/>
      <c r="AB99" s="1380"/>
      <c r="AC99" s="3246" t="s">
        <v>294</v>
      </c>
      <c r="AD99" s="3246" t="s">
        <v>295</v>
      </c>
      <c r="AE99" s="1380" t="s">
        <v>318</v>
      </c>
      <c r="AF99" s="1380" t="s">
        <v>319</v>
      </c>
      <c r="AG99" s="1380" t="s">
        <v>320</v>
      </c>
      <c r="AH99" s="1380" t="str">
        <f>IF($E$79=0,"",$E$79)</f>
        <v>Тариф на питьевую воду (питьевое водоснабжение)</v>
      </c>
      <c r="AI99" s="1380" t="str">
        <f>IF($G$79=0,"",$G$79)</f>
        <v>Холодное водоснабжение. Питьевая вода</v>
      </c>
      <c r="AJ99" s="1380" t="str">
        <f>IF($J$79=0,"",$J$79)</f>
        <v>Питьевая вода</v>
      </c>
      <c r="AK99" s="1380" t="str">
        <f>IF($K$99="нет","без дифференциации",IF($N$99=0,"",$N$99))</f>
        <v>Территория 7</v>
      </c>
      <c r="AL99" s="1957" t="str">
        <f>IF($O$99="нет","без дифференциации",IF($R$99=0,"",$R$99))</f>
        <v>без дифференциации</v>
      </c>
      <c r="AM99" s="1957"/>
      <c r="AN99" s="1380">
        <f>$I$79</f>
        <v>1</v>
      </c>
      <c r="AO99" s="1380" t="str">
        <f>$I$79&amp;"."&amp;$M$99</f>
        <v>1.7</v>
      </c>
      <c r="AP99" s="1380" t="str">
        <f>$I$79&amp;"."&amp;$M$99&amp;"."&amp;$Q$99</f>
        <v>1.7.1</v>
      </c>
      <c r="AQ99" s="1380"/>
      <c r="AR99" s="3233"/>
    </row>
    <row customHeight="1" ht="17.25">
      <c r="A100" s="1953"/>
      <c r="B100" s="3233"/>
      <c r="C100" s="1958"/>
      <c r="D100" s="1943"/>
      <c r="E100" s="1960"/>
      <c r="F100" s="1897"/>
      <c r="G100" s="1961"/>
      <c r="H100" s="1943"/>
      <c r="I100" s="1943"/>
      <c r="J100" s="1964"/>
      <c r="K100" s="1961"/>
      <c r="L100" s="2221"/>
      <c r="M100" s="2221"/>
      <c r="N100" s="2617"/>
      <c r="O100" s="2299"/>
      <c r="P100" s="2221"/>
      <c r="Q100" s="2221"/>
      <c r="R100" s="3241" t="s">
        <v>28</v>
      </c>
      <c r="S100" s="2519"/>
      <c r="T100" s="1548"/>
      <c r="U100" s="1549"/>
      <c r="V100" s="1549"/>
      <c r="W100" s="2614"/>
      <c r="X100" s="3233"/>
      <c r="Y100" s="1372"/>
      <c r="Z100" s="1372"/>
      <c r="AA100" s="1372"/>
      <c r="AB100" s="1372"/>
      <c r="AC100" s="1372"/>
      <c r="AD100" s="1372"/>
      <c r="AE100" s="1372"/>
      <c r="AF100" s="1372"/>
      <c r="AG100" s="1372"/>
      <c r="AH100" s="1372"/>
      <c r="AI100" s="1372"/>
      <c r="AJ100" s="1372"/>
      <c r="AK100" s="1372"/>
      <c r="AL100" s="3233"/>
      <c r="AM100" s="3233"/>
      <c r="AN100" s="3233"/>
      <c r="AO100" s="3233"/>
      <c r="AP100" s="3233"/>
      <c r="AQ100" s="3233"/>
      <c r="AR100" s="3233"/>
    </row>
    <row customHeight="1" ht="17.25">
      <c r="A101" s="1953"/>
      <c r="B101" s="3233"/>
      <c r="C101" s="1958"/>
      <c r="D101" s="1943"/>
      <c r="E101" s="1960"/>
      <c r="F101" s="1897"/>
      <c r="G101" s="1961"/>
      <c r="H101" s="1943"/>
      <c r="I101" s="1943"/>
      <c r="J101" s="1964"/>
      <c r="K101" s="1961"/>
      <c r="L101" s="2616"/>
      <c r="M101" s="2616"/>
      <c r="N101" s="2618"/>
      <c r="O101" s="2225"/>
      <c r="P101" s="430"/>
      <c r="Q101" s="431"/>
      <c r="R101" s="431" t="s">
        <v>298</v>
      </c>
      <c r="S101" s="1959"/>
      <c r="T101" s="1959"/>
      <c r="U101" s="1959"/>
      <c r="V101" s="1959"/>
      <c r="W101" s="1546"/>
      <c r="X101" s="3233"/>
      <c r="Y101" s="1372"/>
      <c r="Z101" s="1372"/>
      <c r="AA101" s="1372"/>
      <c r="AB101" s="1372"/>
      <c r="AC101" s="1372"/>
      <c r="AD101" s="1372"/>
      <c r="AE101" s="1372"/>
      <c r="AF101" s="1372"/>
      <c r="AG101" s="1372"/>
      <c r="AH101" s="1372"/>
      <c r="AI101" s="1372"/>
      <c r="AJ101" s="1372"/>
      <c r="AK101" s="1372"/>
      <c r="AL101" s="3233"/>
      <c r="AM101" s="3233"/>
      <c r="AN101" s="3233"/>
      <c r="AO101" s="3233"/>
      <c r="AP101" s="3233"/>
      <c r="AQ101" s="3233"/>
      <c r="AR101" s="3233"/>
    </row>
    <row customHeight="1" ht="17.25">
      <c r="A102" s="1953"/>
      <c r="B102" s="3233"/>
      <c r="C102" s="1955"/>
      <c r="D102" s="1943"/>
      <c r="E102" s="1960"/>
      <c r="F102" s="1897"/>
      <c r="G102" s="1961"/>
      <c r="H102" s="1943"/>
      <c r="I102" s="1943"/>
      <c r="J102" s="1964"/>
      <c r="K102" s="1961"/>
      <c r="L102" s="2221" t="s">
        <v>105</v>
      </c>
      <c r="M102" s="2221" t="s">
        <v>131</v>
      </c>
      <c r="N102" s="2617" t="str">
        <f>IF(Z102="","",INDEX(TERRITORY_MR_LIST,MATCH(Z102,TERRITORY_LIST_ID,0)))</f>
        <v>Территория 8</v>
      </c>
      <c r="O102" s="2298" t="s">
        <v>19</v>
      </c>
      <c r="P102" s="2221"/>
      <c r="Q102" s="2221" t="s">
        <v>187</v>
      </c>
      <c r="R102" s="3241" t="s">
        <v>28</v>
      </c>
      <c r="S102" s="2519" t="s">
        <v>19</v>
      </c>
      <c r="T102" s="1915"/>
      <c r="U102" s="1915" t="s">
        <v>187</v>
      </c>
      <c r="V102" s="1547"/>
      <c r="W102" s="2614"/>
      <c r="X102" s="3233"/>
      <c r="Y102" s="1380"/>
      <c r="Z102" s="1380" t="s">
        <v>132</v>
      </c>
      <c r="AA102" s="1380"/>
      <c r="AB102" s="1380"/>
      <c r="AC102" s="3246" t="s">
        <v>294</v>
      </c>
      <c r="AD102" s="3246" t="s">
        <v>295</v>
      </c>
      <c r="AE102" s="1380" t="s">
        <v>321</v>
      </c>
      <c r="AF102" s="1380" t="s">
        <v>322</v>
      </c>
      <c r="AG102" s="1380" t="s">
        <v>323</v>
      </c>
      <c r="AH102" s="1380" t="str">
        <f>IF($E$79=0,"",$E$79)</f>
        <v>Тариф на питьевую воду (питьевое водоснабжение)</v>
      </c>
      <c r="AI102" s="1380" t="str">
        <f>IF($G$79=0,"",$G$79)</f>
        <v>Холодное водоснабжение. Питьевая вода</v>
      </c>
      <c r="AJ102" s="1380" t="str">
        <f>IF($J$79=0,"",$J$79)</f>
        <v>Питьевая вода</v>
      </c>
      <c r="AK102" s="1380" t="str">
        <f>IF($K$102="нет","без дифференциации",IF($N$102=0,"",$N$102))</f>
        <v>Территория 8</v>
      </c>
      <c r="AL102" s="1957" t="str">
        <f>IF($O$102="нет","без дифференциации",IF($R$102=0,"",$R$102))</f>
        <v>без дифференциации</v>
      </c>
      <c r="AM102" s="1957"/>
      <c r="AN102" s="1380">
        <f>$I$79</f>
        <v>1</v>
      </c>
      <c r="AO102" s="1380" t="str">
        <f>$I$79&amp;"."&amp;$M$102</f>
        <v>1.8</v>
      </c>
      <c r="AP102" s="1380" t="str">
        <f>$I$79&amp;"."&amp;$M$102&amp;"."&amp;$Q$102</f>
        <v>1.8.1</v>
      </c>
      <c r="AQ102" s="1380"/>
      <c r="AR102" s="3233"/>
    </row>
    <row customHeight="1" ht="17.25">
      <c r="A103" s="1953"/>
      <c r="B103" s="3233"/>
      <c r="C103" s="1958"/>
      <c r="D103" s="1943"/>
      <c r="E103" s="1960"/>
      <c r="F103" s="1897"/>
      <c r="G103" s="1961"/>
      <c r="H103" s="1943"/>
      <c r="I103" s="1943"/>
      <c r="J103" s="1964"/>
      <c r="K103" s="1961"/>
      <c r="L103" s="2221"/>
      <c r="M103" s="2221"/>
      <c r="N103" s="2617"/>
      <c r="O103" s="2299"/>
      <c r="P103" s="2221"/>
      <c r="Q103" s="2221"/>
      <c r="R103" s="3241" t="s">
        <v>28</v>
      </c>
      <c r="S103" s="2519"/>
      <c r="T103" s="1548"/>
      <c r="U103" s="1549"/>
      <c r="V103" s="1549"/>
      <c r="W103" s="2614"/>
      <c r="X103" s="3233"/>
      <c r="Y103" s="1372"/>
      <c r="Z103" s="1372"/>
      <c r="AA103" s="1372"/>
      <c r="AB103" s="1372"/>
      <c r="AC103" s="1372"/>
      <c r="AD103" s="1372"/>
      <c r="AE103" s="1372"/>
      <c r="AF103" s="1372"/>
      <c r="AG103" s="1372"/>
      <c r="AH103" s="1372"/>
      <c r="AI103" s="1372"/>
      <c r="AJ103" s="1372"/>
      <c r="AK103" s="1372"/>
      <c r="AL103" s="3233"/>
      <c r="AM103" s="3233"/>
      <c r="AN103" s="3233"/>
      <c r="AO103" s="3233"/>
      <c r="AP103" s="3233"/>
      <c r="AQ103" s="3233"/>
      <c r="AR103" s="3233"/>
    </row>
    <row customHeight="1" ht="17.25">
      <c r="A104" s="1953"/>
      <c r="B104" s="3233"/>
      <c r="C104" s="1958"/>
      <c r="D104" s="1943"/>
      <c r="E104" s="1960"/>
      <c r="F104" s="1897"/>
      <c r="G104" s="1961"/>
      <c r="H104" s="1943"/>
      <c r="I104" s="1943"/>
      <c r="J104" s="1964"/>
      <c r="K104" s="1961"/>
      <c r="L104" s="2616"/>
      <c r="M104" s="2616"/>
      <c r="N104" s="2618"/>
      <c r="O104" s="2225"/>
      <c r="P104" s="430"/>
      <c r="Q104" s="431"/>
      <c r="R104" s="431" t="s">
        <v>298</v>
      </c>
      <c r="S104" s="1959"/>
      <c r="T104" s="1959"/>
      <c r="U104" s="1959"/>
      <c r="V104" s="1959"/>
      <c r="W104" s="1546"/>
      <c r="X104" s="3233"/>
      <c r="Y104" s="1372"/>
      <c r="Z104" s="1372"/>
      <c r="AA104" s="1372"/>
      <c r="AB104" s="1372"/>
      <c r="AC104" s="1372"/>
      <c r="AD104" s="1372"/>
      <c r="AE104" s="1372"/>
      <c r="AF104" s="1372"/>
      <c r="AG104" s="1372"/>
      <c r="AH104" s="1372"/>
      <c r="AI104" s="1372"/>
      <c r="AJ104" s="1372"/>
      <c r="AK104" s="1372"/>
      <c r="AL104" s="3233"/>
      <c r="AM104" s="3233"/>
      <c r="AN104" s="3233"/>
      <c r="AO104" s="3233"/>
      <c r="AP104" s="3233"/>
      <c r="AQ104" s="3233"/>
      <c r="AR104" s="3233"/>
    </row>
    <row customHeight="1" ht="17.25">
      <c r="A105" s="1953"/>
      <c r="B105" s="3233"/>
      <c r="C105" s="1955"/>
      <c r="D105" s="1943"/>
      <c r="E105" s="1960"/>
      <c r="F105" s="1897"/>
      <c r="G105" s="1961"/>
      <c r="H105" s="1943"/>
      <c r="I105" s="1943"/>
      <c r="J105" s="1964"/>
      <c r="K105" s="1961"/>
      <c r="L105" s="2221" t="s">
        <v>105</v>
      </c>
      <c r="M105" s="2221" t="s">
        <v>136</v>
      </c>
      <c r="N105" s="2617" t="str">
        <f>IF(Z105="","",INDEX(TERRITORY_MR_LIST,MATCH(Z105,TERRITORY_LIST_ID,0)))</f>
        <v>Территория 9</v>
      </c>
      <c r="O105" s="2298" t="s">
        <v>19</v>
      </c>
      <c r="P105" s="2221"/>
      <c r="Q105" s="2221" t="s">
        <v>187</v>
      </c>
      <c r="R105" s="3241" t="s">
        <v>28</v>
      </c>
      <c r="S105" s="2519" t="s">
        <v>19</v>
      </c>
      <c r="T105" s="1915"/>
      <c r="U105" s="1915" t="s">
        <v>187</v>
      </c>
      <c r="V105" s="1547"/>
      <c r="W105" s="2614"/>
      <c r="X105" s="3233"/>
      <c r="Y105" s="1380"/>
      <c r="Z105" s="1380" t="s">
        <v>137</v>
      </c>
      <c r="AA105" s="1380"/>
      <c r="AB105" s="1380"/>
      <c r="AC105" s="3246" t="s">
        <v>294</v>
      </c>
      <c r="AD105" s="3246" t="s">
        <v>295</v>
      </c>
      <c r="AE105" s="1380" t="s">
        <v>324</v>
      </c>
      <c r="AF105" s="1380" t="s">
        <v>325</v>
      </c>
      <c r="AG105" s="1380" t="s">
        <v>326</v>
      </c>
      <c r="AH105" s="1380" t="str">
        <f>IF($E$79=0,"",$E$79)</f>
        <v>Тариф на питьевую воду (питьевое водоснабжение)</v>
      </c>
      <c r="AI105" s="1380" t="str">
        <f>IF($G$79=0,"",$G$79)</f>
        <v>Холодное водоснабжение. Питьевая вода</v>
      </c>
      <c r="AJ105" s="1380" t="str">
        <f>IF($J$79=0,"",$J$79)</f>
        <v>Питьевая вода</v>
      </c>
      <c r="AK105" s="1380" t="str">
        <f>IF($K$105="нет","без дифференциации",IF($N$105=0,"",$N$105))</f>
        <v>Территория 9</v>
      </c>
      <c r="AL105" s="1957" t="str">
        <f>IF($O$105="нет","без дифференциации",IF($R$105=0,"",$R$105))</f>
        <v>без дифференциации</v>
      </c>
      <c r="AM105" s="1957"/>
      <c r="AN105" s="1380">
        <f>$I$79</f>
        <v>1</v>
      </c>
      <c r="AO105" s="1380" t="str">
        <f>$I$79&amp;"."&amp;$M$105</f>
        <v>1.9</v>
      </c>
      <c r="AP105" s="1380" t="str">
        <f>$I$79&amp;"."&amp;$M$105&amp;"."&amp;$Q$105</f>
        <v>1.9.1</v>
      </c>
      <c r="AQ105" s="1380"/>
      <c r="AR105" s="3233"/>
    </row>
    <row customHeight="1" ht="17.25">
      <c r="A106" s="1953"/>
      <c r="B106" s="3233"/>
      <c r="C106" s="1958"/>
      <c r="D106" s="1943"/>
      <c r="E106" s="1960"/>
      <c r="F106" s="1897"/>
      <c r="G106" s="1961"/>
      <c r="H106" s="1943"/>
      <c r="I106" s="1943"/>
      <c r="J106" s="1964"/>
      <c r="K106" s="1961"/>
      <c r="L106" s="2221"/>
      <c r="M106" s="2221"/>
      <c r="N106" s="2617"/>
      <c r="O106" s="2299"/>
      <c r="P106" s="2221"/>
      <c r="Q106" s="2221"/>
      <c r="R106" s="3241" t="s">
        <v>28</v>
      </c>
      <c r="S106" s="2519"/>
      <c r="T106" s="1548"/>
      <c r="U106" s="1549"/>
      <c r="V106" s="1549"/>
      <c r="W106" s="2614"/>
      <c r="X106" s="3233"/>
      <c r="Y106" s="1372"/>
      <c r="Z106" s="1372"/>
      <c r="AA106" s="1372"/>
      <c r="AB106" s="1372"/>
      <c r="AC106" s="1372"/>
      <c r="AD106" s="1372"/>
      <c r="AE106" s="1372"/>
      <c r="AF106" s="1372"/>
      <c r="AG106" s="1372"/>
      <c r="AH106" s="1372"/>
      <c r="AI106" s="1372"/>
      <c r="AJ106" s="1372"/>
      <c r="AK106" s="1372"/>
      <c r="AL106" s="3233"/>
      <c r="AM106" s="3233"/>
      <c r="AN106" s="3233"/>
      <c r="AO106" s="3233"/>
      <c r="AP106" s="3233"/>
      <c r="AQ106" s="3233"/>
      <c r="AR106" s="3233"/>
    </row>
    <row customHeight="1" ht="17.25">
      <c r="A107" s="1953"/>
      <c r="B107" s="3233"/>
      <c r="C107" s="1958"/>
      <c r="D107" s="1943"/>
      <c r="E107" s="1960"/>
      <c r="F107" s="1897"/>
      <c r="G107" s="1961"/>
      <c r="H107" s="1943"/>
      <c r="I107" s="1943"/>
      <c r="J107" s="1964"/>
      <c r="K107" s="1961"/>
      <c r="L107" s="2616"/>
      <c r="M107" s="2616"/>
      <c r="N107" s="2618"/>
      <c r="O107" s="2225"/>
      <c r="P107" s="430"/>
      <c r="Q107" s="431"/>
      <c r="R107" s="431" t="s">
        <v>298</v>
      </c>
      <c r="S107" s="1959"/>
      <c r="T107" s="1959"/>
      <c r="U107" s="1959"/>
      <c r="V107" s="1959"/>
      <c r="W107" s="1546"/>
      <c r="X107" s="3233"/>
      <c r="Y107" s="1372"/>
      <c r="Z107" s="1372"/>
      <c r="AA107" s="1372"/>
      <c r="AB107" s="1372"/>
      <c r="AC107" s="1372"/>
      <c r="AD107" s="1372"/>
      <c r="AE107" s="1372"/>
      <c r="AF107" s="1372"/>
      <c r="AG107" s="1372"/>
      <c r="AH107" s="1372"/>
      <c r="AI107" s="1372"/>
      <c r="AJ107" s="1372"/>
      <c r="AK107" s="1372"/>
      <c r="AL107" s="3233"/>
      <c r="AM107" s="3233"/>
      <c r="AN107" s="3233"/>
      <c r="AO107" s="3233"/>
      <c r="AP107" s="3233"/>
      <c r="AQ107" s="3233"/>
      <c r="AR107" s="3233"/>
    </row>
    <row customHeight="1" ht="17.25">
      <c r="A108" s="1953"/>
      <c r="B108" s="3233"/>
      <c r="C108" s="1955"/>
      <c r="D108" s="1943"/>
      <c r="E108" s="1960"/>
      <c r="F108" s="1897"/>
      <c r="G108" s="1961"/>
      <c r="H108" s="1943"/>
      <c r="I108" s="1943"/>
      <c r="J108" s="1964"/>
      <c r="K108" s="1961"/>
      <c r="L108" s="2221" t="s">
        <v>105</v>
      </c>
      <c r="M108" s="2221" t="s">
        <v>141</v>
      </c>
      <c r="N108" s="2617" t="str">
        <f>IF(Z108="","",INDEX(TERRITORY_MR_LIST,MATCH(Z108,TERRITORY_LIST_ID,0)))</f>
        <v>Территория 10</v>
      </c>
      <c r="O108" s="2298" t="s">
        <v>19</v>
      </c>
      <c r="P108" s="2221"/>
      <c r="Q108" s="2221" t="s">
        <v>187</v>
      </c>
      <c r="R108" s="3241" t="s">
        <v>28</v>
      </c>
      <c r="S108" s="2519" t="s">
        <v>19</v>
      </c>
      <c r="T108" s="1915"/>
      <c r="U108" s="1915" t="s">
        <v>187</v>
      </c>
      <c r="V108" s="1547"/>
      <c r="W108" s="2614"/>
      <c r="X108" s="3233"/>
      <c r="Y108" s="1380"/>
      <c r="Z108" s="1380" t="s">
        <v>142</v>
      </c>
      <c r="AA108" s="1380"/>
      <c r="AB108" s="1380"/>
      <c r="AC108" s="3246" t="s">
        <v>294</v>
      </c>
      <c r="AD108" s="3246" t="s">
        <v>295</v>
      </c>
      <c r="AE108" s="1380" t="s">
        <v>327</v>
      </c>
      <c r="AF108" s="1380" t="s">
        <v>328</v>
      </c>
      <c r="AG108" s="1380" t="s">
        <v>329</v>
      </c>
      <c r="AH108" s="1380" t="str">
        <f>IF($E$79=0,"",$E$79)</f>
        <v>Тариф на питьевую воду (питьевое водоснабжение)</v>
      </c>
      <c r="AI108" s="1380" t="str">
        <f>IF($G$79=0,"",$G$79)</f>
        <v>Холодное водоснабжение. Питьевая вода</v>
      </c>
      <c r="AJ108" s="1380" t="str">
        <f>IF($J$79=0,"",$J$79)</f>
        <v>Питьевая вода</v>
      </c>
      <c r="AK108" s="1380" t="str">
        <f>IF($K$108="нет","без дифференциации",IF($N$108=0,"",$N$108))</f>
        <v>Территория 10</v>
      </c>
      <c r="AL108" s="1957" t="str">
        <f>IF($O$108="нет","без дифференциации",IF($R$108=0,"",$R$108))</f>
        <v>без дифференциации</v>
      </c>
      <c r="AM108" s="1957"/>
      <c r="AN108" s="1380">
        <f>$I$79</f>
        <v>1</v>
      </c>
      <c r="AO108" s="1380" t="str">
        <f>$I$79&amp;"."&amp;$M$108</f>
        <v>1.10</v>
      </c>
      <c r="AP108" s="1380" t="str">
        <f>$I$79&amp;"."&amp;$M$108&amp;"."&amp;$Q$108</f>
        <v>1.10.1</v>
      </c>
      <c r="AQ108" s="1380"/>
      <c r="AR108" s="3233"/>
    </row>
    <row customHeight="1" ht="17.25">
      <c r="A109" s="1953"/>
      <c r="B109" s="3233"/>
      <c r="C109" s="1958"/>
      <c r="D109" s="1943"/>
      <c r="E109" s="1960"/>
      <c r="F109" s="1897"/>
      <c r="G109" s="1961"/>
      <c r="H109" s="1943"/>
      <c r="I109" s="1943"/>
      <c r="J109" s="1964"/>
      <c r="K109" s="1961"/>
      <c r="L109" s="2221"/>
      <c r="M109" s="2221"/>
      <c r="N109" s="2617"/>
      <c r="O109" s="2299"/>
      <c r="P109" s="2221"/>
      <c r="Q109" s="2221"/>
      <c r="R109" s="3241" t="s">
        <v>28</v>
      </c>
      <c r="S109" s="2519"/>
      <c r="T109" s="1548"/>
      <c r="U109" s="1549"/>
      <c r="V109" s="1549"/>
      <c r="W109" s="2614"/>
      <c r="X109" s="3233"/>
      <c r="Y109" s="1372"/>
      <c r="Z109" s="1372"/>
      <c r="AA109" s="1372"/>
      <c r="AB109" s="1372"/>
      <c r="AC109" s="1372"/>
      <c r="AD109" s="1372"/>
      <c r="AE109" s="1372"/>
      <c r="AF109" s="1372"/>
      <c r="AG109" s="1372"/>
      <c r="AH109" s="1372"/>
      <c r="AI109" s="1372"/>
      <c r="AJ109" s="1372"/>
      <c r="AK109" s="1372"/>
      <c r="AL109" s="3233"/>
      <c r="AM109" s="3233"/>
      <c r="AN109" s="3233"/>
      <c r="AO109" s="3233"/>
      <c r="AP109" s="3233"/>
      <c r="AQ109" s="3233"/>
      <c r="AR109" s="3233"/>
    </row>
    <row customHeight="1" ht="17.25">
      <c r="A110" s="1953"/>
      <c r="B110" s="3233"/>
      <c r="C110" s="1958"/>
      <c r="D110" s="1943"/>
      <c r="E110" s="1960"/>
      <c r="F110" s="1897"/>
      <c r="G110" s="1961"/>
      <c r="H110" s="1943"/>
      <c r="I110" s="1943"/>
      <c r="J110" s="1964"/>
      <c r="K110" s="1961"/>
      <c r="L110" s="2616"/>
      <c r="M110" s="2616"/>
      <c r="N110" s="2618"/>
      <c r="O110" s="2225"/>
      <c r="P110" s="430"/>
      <c r="Q110" s="431"/>
      <c r="R110" s="431" t="s">
        <v>298</v>
      </c>
      <c r="S110" s="1959"/>
      <c r="T110" s="1959"/>
      <c r="U110" s="1959"/>
      <c r="V110" s="1959"/>
      <c r="W110" s="1546"/>
      <c r="X110" s="3233"/>
      <c r="Y110" s="1372"/>
      <c r="Z110" s="1372"/>
      <c r="AA110" s="1372"/>
      <c r="AB110" s="1372"/>
      <c r="AC110" s="1372"/>
      <c r="AD110" s="1372"/>
      <c r="AE110" s="1372"/>
      <c r="AF110" s="1372"/>
      <c r="AG110" s="1372"/>
      <c r="AH110" s="1372"/>
      <c r="AI110" s="1372"/>
      <c r="AJ110" s="1372"/>
      <c r="AK110" s="1372"/>
      <c r="AL110" s="3233"/>
      <c r="AM110" s="3233"/>
      <c r="AN110" s="3233"/>
      <c r="AO110" s="3233"/>
      <c r="AP110" s="3233"/>
      <c r="AQ110" s="3233"/>
      <c r="AR110" s="3233"/>
    </row>
    <row customHeight="1" ht="17.25">
      <c r="A111" s="1953"/>
      <c r="B111" s="3233"/>
      <c r="C111" s="1955"/>
      <c r="D111" s="1943"/>
      <c r="E111" s="1960"/>
      <c r="F111" s="1897"/>
      <c r="G111" s="1961"/>
      <c r="H111" s="1943"/>
      <c r="I111" s="1943"/>
      <c r="J111" s="1964"/>
      <c r="K111" s="1961"/>
      <c r="L111" s="2221" t="s">
        <v>105</v>
      </c>
      <c r="M111" s="2221" t="s">
        <v>146</v>
      </c>
      <c r="N111" s="2617" t="str">
        <f>IF(Z111="","",INDEX(TERRITORY_MR_LIST,MATCH(Z111,TERRITORY_LIST_ID,0)))</f>
        <v>Территория 11</v>
      </c>
      <c r="O111" s="2298" t="s">
        <v>19</v>
      </c>
      <c r="P111" s="2221"/>
      <c r="Q111" s="2221" t="s">
        <v>187</v>
      </c>
      <c r="R111" s="3241" t="s">
        <v>28</v>
      </c>
      <c r="S111" s="2519" t="s">
        <v>19</v>
      </c>
      <c r="T111" s="1915"/>
      <c r="U111" s="1915" t="s">
        <v>187</v>
      </c>
      <c r="V111" s="1547"/>
      <c r="W111" s="2614"/>
      <c r="X111" s="3233"/>
      <c r="Y111" s="1380"/>
      <c r="Z111" s="1380" t="s">
        <v>147</v>
      </c>
      <c r="AA111" s="1380"/>
      <c r="AB111" s="1380"/>
      <c r="AC111" s="3246" t="s">
        <v>294</v>
      </c>
      <c r="AD111" s="3246" t="s">
        <v>295</v>
      </c>
      <c r="AE111" s="1380" t="s">
        <v>330</v>
      </c>
      <c r="AF111" s="1380" t="s">
        <v>331</v>
      </c>
      <c r="AG111" s="1380" t="s">
        <v>332</v>
      </c>
      <c r="AH111" s="1380" t="str">
        <f>IF($E$79=0,"",$E$79)</f>
        <v>Тариф на питьевую воду (питьевое водоснабжение)</v>
      </c>
      <c r="AI111" s="1380" t="str">
        <f>IF($G$79=0,"",$G$79)</f>
        <v>Холодное водоснабжение. Питьевая вода</v>
      </c>
      <c r="AJ111" s="1380" t="str">
        <f>IF($J$79=0,"",$J$79)</f>
        <v>Питьевая вода</v>
      </c>
      <c r="AK111" s="1380" t="str">
        <f>IF($K$111="нет","без дифференциации",IF($N$111=0,"",$N$111))</f>
        <v>Территория 11</v>
      </c>
      <c r="AL111" s="1957" t="str">
        <f>IF($O$111="нет","без дифференциации",IF($R$111=0,"",$R$111))</f>
        <v>без дифференциации</v>
      </c>
      <c r="AM111" s="1957"/>
      <c r="AN111" s="1380">
        <f>$I$79</f>
        <v>1</v>
      </c>
      <c r="AO111" s="1380" t="str">
        <f>$I$79&amp;"."&amp;$M$111</f>
        <v>1.11</v>
      </c>
      <c r="AP111" s="1380" t="str">
        <f>$I$79&amp;"."&amp;$M$111&amp;"."&amp;$Q$111</f>
        <v>1.11.1</v>
      </c>
      <c r="AQ111" s="1380"/>
      <c r="AR111" s="3233"/>
    </row>
    <row customHeight="1" ht="17.25">
      <c r="A112" s="1953"/>
      <c r="B112" s="3233"/>
      <c r="C112" s="1958"/>
      <c r="D112" s="1943"/>
      <c r="E112" s="1960"/>
      <c r="F112" s="1897"/>
      <c r="G112" s="1961"/>
      <c r="H112" s="1943"/>
      <c r="I112" s="1943"/>
      <c r="J112" s="1964"/>
      <c r="K112" s="1961"/>
      <c r="L112" s="2221"/>
      <c r="M112" s="2221"/>
      <c r="N112" s="2617"/>
      <c r="O112" s="2299"/>
      <c r="P112" s="2221"/>
      <c r="Q112" s="2221"/>
      <c r="R112" s="3241" t="s">
        <v>28</v>
      </c>
      <c r="S112" s="2519"/>
      <c r="T112" s="1548"/>
      <c r="U112" s="1549"/>
      <c r="V112" s="1549"/>
      <c r="W112" s="2614"/>
      <c r="X112" s="3233"/>
      <c r="Y112" s="1372"/>
      <c r="Z112" s="1372"/>
      <c r="AA112" s="1372"/>
      <c r="AB112" s="1372"/>
      <c r="AC112" s="1372"/>
      <c r="AD112" s="1372"/>
      <c r="AE112" s="1372"/>
      <c r="AF112" s="1372"/>
      <c r="AG112" s="1372"/>
      <c r="AH112" s="1372"/>
      <c r="AI112" s="1372"/>
      <c r="AJ112" s="1372"/>
      <c r="AK112" s="1372"/>
      <c r="AL112" s="3233"/>
      <c r="AM112" s="3233"/>
      <c r="AN112" s="3233"/>
      <c r="AO112" s="3233"/>
      <c r="AP112" s="3233"/>
      <c r="AQ112" s="3233"/>
      <c r="AR112" s="3233"/>
    </row>
    <row customHeight="1" ht="17.25">
      <c r="A113" s="1953"/>
      <c r="B113" s="3233"/>
      <c r="C113" s="1958"/>
      <c r="D113" s="1943"/>
      <c r="E113" s="1960"/>
      <c r="F113" s="1897"/>
      <c r="G113" s="1961"/>
      <c r="H113" s="1943"/>
      <c r="I113" s="1943"/>
      <c r="J113" s="1964"/>
      <c r="K113" s="1961"/>
      <c r="L113" s="2616"/>
      <c r="M113" s="2616"/>
      <c r="N113" s="2618"/>
      <c r="O113" s="2225"/>
      <c r="P113" s="430"/>
      <c r="Q113" s="431"/>
      <c r="R113" s="431" t="s">
        <v>298</v>
      </c>
      <c r="S113" s="1959"/>
      <c r="T113" s="1959"/>
      <c r="U113" s="1959"/>
      <c r="V113" s="1959"/>
      <c r="W113" s="1546"/>
      <c r="X113" s="3233"/>
      <c r="Y113" s="1372"/>
      <c r="Z113" s="1372"/>
      <c r="AA113" s="1372"/>
      <c r="AB113" s="1372"/>
      <c r="AC113" s="1372"/>
      <c r="AD113" s="1372"/>
      <c r="AE113" s="1372"/>
      <c r="AF113" s="1372"/>
      <c r="AG113" s="1372"/>
      <c r="AH113" s="1372"/>
      <c r="AI113" s="1372"/>
      <c r="AJ113" s="1372"/>
      <c r="AK113" s="1372"/>
      <c r="AL113" s="3233"/>
      <c r="AM113" s="3233"/>
      <c r="AN113" s="3233"/>
      <c r="AO113" s="3233"/>
      <c r="AP113" s="3233"/>
      <c r="AQ113" s="3233"/>
      <c r="AR113" s="3233"/>
    </row>
    <row customHeight="1" ht="17.25">
      <c r="A114" s="1953"/>
      <c r="B114" s="3233"/>
      <c r="C114" s="1955"/>
      <c r="D114" s="1943"/>
      <c r="E114" s="1960"/>
      <c r="F114" s="1897"/>
      <c r="G114" s="1961"/>
      <c r="H114" s="1943"/>
      <c r="I114" s="1943"/>
      <c r="J114" s="1964"/>
      <c r="K114" s="1961"/>
      <c r="L114" s="2221" t="s">
        <v>105</v>
      </c>
      <c r="M114" s="2221" t="s">
        <v>151</v>
      </c>
      <c r="N114" s="2617" t="str">
        <f>IF(Z114="","",INDEX(TERRITORY_MR_LIST,MATCH(Z114,TERRITORY_LIST_ID,0)))</f>
        <v>Территория 12</v>
      </c>
      <c r="O114" s="2298" t="s">
        <v>19</v>
      </c>
      <c r="P114" s="2221"/>
      <c r="Q114" s="2221" t="s">
        <v>187</v>
      </c>
      <c r="R114" s="3241" t="s">
        <v>28</v>
      </c>
      <c r="S114" s="2519" t="s">
        <v>19</v>
      </c>
      <c r="T114" s="1915"/>
      <c r="U114" s="1915" t="s">
        <v>187</v>
      </c>
      <c r="V114" s="1547"/>
      <c r="W114" s="2614"/>
      <c r="X114" s="3233"/>
      <c r="Y114" s="1380"/>
      <c r="Z114" s="1380" t="s">
        <v>152</v>
      </c>
      <c r="AA114" s="1380"/>
      <c r="AB114" s="1380"/>
      <c r="AC114" s="3246" t="s">
        <v>294</v>
      </c>
      <c r="AD114" s="3246" t="s">
        <v>295</v>
      </c>
      <c r="AE114" s="1380" t="s">
        <v>333</v>
      </c>
      <c r="AF114" s="1380" t="s">
        <v>334</v>
      </c>
      <c r="AG114" s="1380" t="s">
        <v>335</v>
      </c>
      <c r="AH114" s="1380" t="str">
        <f>IF($E$79=0,"",$E$79)</f>
        <v>Тариф на питьевую воду (питьевое водоснабжение)</v>
      </c>
      <c r="AI114" s="1380" t="str">
        <f>IF($G$79=0,"",$G$79)</f>
        <v>Холодное водоснабжение. Питьевая вода</v>
      </c>
      <c r="AJ114" s="1380" t="str">
        <f>IF($J$79=0,"",$J$79)</f>
        <v>Питьевая вода</v>
      </c>
      <c r="AK114" s="1380" t="str">
        <f>IF($K$114="нет","без дифференциации",IF($N$114=0,"",$N$114))</f>
        <v>Территория 12</v>
      </c>
      <c r="AL114" s="1957" t="str">
        <f>IF($O$114="нет","без дифференциации",IF($R$114=0,"",$R$114))</f>
        <v>без дифференциации</v>
      </c>
      <c r="AM114" s="1957"/>
      <c r="AN114" s="1380">
        <f>$I$79</f>
        <v>1</v>
      </c>
      <c r="AO114" s="1380" t="str">
        <f>$I$79&amp;"."&amp;$M$114</f>
        <v>1.12</v>
      </c>
      <c r="AP114" s="1380" t="str">
        <f>$I$79&amp;"."&amp;$M$114&amp;"."&amp;$Q$114</f>
        <v>1.12.1</v>
      </c>
      <c r="AQ114" s="1380"/>
      <c r="AR114" s="3233"/>
    </row>
    <row customHeight="1" ht="17.25">
      <c r="A115" s="1953"/>
      <c r="B115" s="3233"/>
      <c r="C115" s="1958"/>
      <c r="D115" s="1943"/>
      <c r="E115" s="1960"/>
      <c r="F115" s="1897"/>
      <c r="G115" s="1961"/>
      <c r="H115" s="1943"/>
      <c r="I115" s="1943"/>
      <c r="J115" s="1964"/>
      <c r="K115" s="1961"/>
      <c r="L115" s="2221"/>
      <c r="M115" s="2221"/>
      <c r="N115" s="2617"/>
      <c r="O115" s="2299"/>
      <c r="P115" s="2221"/>
      <c r="Q115" s="2221"/>
      <c r="R115" s="3241" t="s">
        <v>28</v>
      </c>
      <c r="S115" s="2519"/>
      <c r="T115" s="1548"/>
      <c r="U115" s="1549"/>
      <c r="V115" s="1549"/>
      <c r="W115" s="2614"/>
      <c r="X115" s="3233"/>
      <c r="Y115" s="1372"/>
      <c r="Z115" s="1372"/>
      <c r="AA115" s="1372"/>
      <c r="AB115" s="1372"/>
      <c r="AC115" s="1372"/>
      <c r="AD115" s="1372"/>
      <c r="AE115" s="1372"/>
      <c r="AF115" s="1372"/>
      <c r="AG115" s="1372"/>
      <c r="AH115" s="1372"/>
      <c r="AI115" s="1372"/>
      <c r="AJ115" s="1372"/>
      <c r="AK115" s="1372"/>
      <c r="AL115" s="3233"/>
      <c r="AM115" s="3233"/>
      <c r="AN115" s="3233"/>
      <c r="AO115" s="3233"/>
      <c r="AP115" s="3233"/>
      <c r="AQ115" s="3233"/>
      <c r="AR115" s="3233"/>
    </row>
    <row customHeight="1" ht="17.25">
      <c r="A116" s="1953"/>
      <c r="B116" s="3233"/>
      <c r="C116" s="1958"/>
      <c r="D116" s="1943"/>
      <c r="E116" s="1960"/>
      <c r="F116" s="1897"/>
      <c r="G116" s="1961"/>
      <c r="H116" s="1943"/>
      <c r="I116" s="1943"/>
      <c r="J116" s="1964"/>
      <c r="K116" s="1961"/>
      <c r="L116" s="2616"/>
      <c r="M116" s="2616"/>
      <c r="N116" s="2618"/>
      <c r="O116" s="2225"/>
      <c r="P116" s="430"/>
      <c r="Q116" s="431"/>
      <c r="R116" s="431" t="s">
        <v>298</v>
      </c>
      <c r="S116" s="1959"/>
      <c r="T116" s="1959"/>
      <c r="U116" s="1959"/>
      <c r="V116" s="1959"/>
      <c r="W116" s="1546"/>
      <c r="X116" s="3233"/>
      <c r="Y116" s="1372"/>
      <c r="Z116" s="1372"/>
      <c r="AA116" s="1372"/>
      <c r="AB116" s="1372"/>
      <c r="AC116" s="1372"/>
      <c r="AD116" s="1372"/>
      <c r="AE116" s="1372"/>
      <c r="AF116" s="1372"/>
      <c r="AG116" s="1372"/>
      <c r="AH116" s="1372"/>
      <c r="AI116" s="1372"/>
      <c r="AJ116" s="1372"/>
      <c r="AK116" s="1372"/>
      <c r="AL116" s="3233"/>
      <c r="AM116" s="3233"/>
      <c r="AN116" s="3233"/>
      <c r="AO116" s="3233"/>
      <c r="AP116" s="3233"/>
      <c r="AQ116" s="3233"/>
      <c r="AR116" s="3233"/>
    </row>
    <row customHeight="1" ht="17.25">
      <c r="A117" s="1953"/>
      <c r="B117" s="3233"/>
      <c r="C117" s="1955"/>
      <c r="D117" s="1943"/>
      <c r="E117" s="1960"/>
      <c r="F117" s="1897"/>
      <c r="G117" s="1961"/>
      <c r="H117" s="1943"/>
      <c r="I117" s="1943"/>
      <c r="J117" s="1964"/>
      <c r="K117" s="1961"/>
      <c r="L117" s="2221" t="s">
        <v>105</v>
      </c>
      <c r="M117" s="2221" t="s">
        <v>156</v>
      </c>
      <c r="N117" s="2617" t="str">
        <f>IF(Z117="","",INDEX(TERRITORY_MR_LIST,MATCH(Z117,TERRITORY_LIST_ID,0)))</f>
        <v>Территория 13</v>
      </c>
      <c r="O117" s="2298" t="s">
        <v>19</v>
      </c>
      <c r="P117" s="2221"/>
      <c r="Q117" s="2221" t="s">
        <v>187</v>
      </c>
      <c r="R117" s="3241" t="s">
        <v>28</v>
      </c>
      <c r="S117" s="2519" t="s">
        <v>19</v>
      </c>
      <c r="T117" s="1915"/>
      <c r="U117" s="1915" t="s">
        <v>187</v>
      </c>
      <c r="V117" s="1547"/>
      <c r="W117" s="2614"/>
      <c r="X117" s="3233"/>
      <c r="Y117" s="1380"/>
      <c r="Z117" s="1380" t="s">
        <v>157</v>
      </c>
      <c r="AA117" s="1380"/>
      <c r="AB117" s="1380"/>
      <c r="AC117" s="3246" t="s">
        <v>294</v>
      </c>
      <c r="AD117" s="3246" t="s">
        <v>295</v>
      </c>
      <c r="AE117" s="1380" t="s">
        <v>336</v>
      </c>
      <c r="AF117" s="1380" t="s">
        <v>337</v>
      </c>
      <c r="AG117" s="1380" t="s">
        <v>338</v>
      </c>
      <c r="AH117" s="1380" t="str">
        <f>IF($E$79=0,"",$E$79)</f>
        <v>Тариф на питьевую воду (питьевое водоснабжение)</v>
      </c>
      <c r="AI117" s="1380" t="str">
        <f>IF($G$79=0,"",$G$79)</f>
        <v>Холодное водоснабжение. Питьевая вода</v>
      </c>
      <c r="AJ117" s="1380" t="str">
        <f>IF($J$79=0,"",$J$79)</f>
        <v>Питьевая вода</v>
      </c>
      <c r="AK117" s="1380" t="str">
        <f>IF($K$117="нет","без дифференциации",IF($N$117=0,"",$N$117))</f>
        <v>Территория 13</v>
      </c>
      <c r="AL117" s="1957" t="str">
        <f>IF($O$117="нет","без дифференциации",IF($R$117=0,"",$R$117))</f>
        <v>без дифференциации</v>
      </c>
      <c r="AM117" s="1957"/>
      <c r="AN117" s="1380">
        <f>$I$79</f>
        <v>1</v>
      </c>
      <c r="AO117" s="1380" t="str">
        <f>$I$79&amp;"."&amp;$M$117</f>
        <v>1.13</v>
      </c>
      <c r="AP117" s="1380" t="str">
        <f>$I$79&amp;"."&amp;$M$117&amp;"."&amp;$Q$117</f>
        <v>1.13.1</v>
      </c>
      <c r="AQ117" s="1380"/>
      <c r="AR117" s="3233"/>
    </row>
    <row customHeight="1" ht="17.25">
      <c r="A118" s="1953"/>
      <c r="B118" s="3233"/>
      <c r="C118" s="1958"/>
      <c r="D118" s="1943"/>
      <c r="E118" s="1960"/>
      <c r="F118" s="1897"/>
      <c r="G118" s="1961"/>
      <c r="H118" s="1943"/>
      <c r="I118" s="1943"/>
      <c r="J118" s="1964"/>
      <c r="K118" s="1961"/>
      <c r="L118" s="2221"/>
      <c r="M118" s="2221"/>
      <c r="N118" s="2617"/>
      <c r="O118" s="2299"/>
      <c r="P118" s="2221"/>
      <c r="Q118" s="2221"/>
      <c r="R118" s="3241" t="s">
        <v>28</v>
      </c>
      <c r="S118" s="2519"/>
      <c r="T118" s="1548"/>
      <c r="U118" s="1549"/>
      <c r="V118" s="1549"/>
      <c r="W118" s="2614"/>
      <c r="X118" s="3233"/>
      <c r="Y118" s="1372"/>
      <c r="Z118" s="1372"/>
      <c r="AA118" s="1372"/>
      <c r="AB118" s="1372"/>
      <c r="AC118" s="1372"/>
      <c r="AD118" s="1372"/>
      <c r="AE118" s="1372"/>
      <c r="AF118" s="1372"/>
      <c r="AG118" s="1372"/>
      <c r="AH118" s="1372"/>
      <c r="AI118" s="1372"/>
      <c r="AJ118" s="1372"/>
      <c r="AK118" s="1372"/>
      <c r="AL118" s="3233"/>
      <c r="AM118" s="3233"/>
      <c r="AN118" s="3233"/>
      <c r="AO118" s="3233"/>
      <c r="AP118" s="3233"/>
      <c r="AQ118" s="3233"/>
      <c r="AR118" s="3233"/>
    </row>
    <row customHeight="1" ht="17.25">
      <c r="A119" s="1953"/>
      <c r="B119" s="3233"/>
      <c r="C119" s="1958"/>
      <c r="D119" s="1943"/>
      <c r="E119" s="1960"/>
      <c r="F119" s="1897"/>
      <c r="G119" s="1961"/>
      <c r="H119" s="1943"/>
      <c r="I119" s="1943"/>
      <c r="J119" s="1964"/>
      <c r="K119" s="1961"/>
      <c r="L119" s="2616"/>
      <c r="M119" s="2616"/>
      <c r="N119" s="2618"/>
      <c r="O119" s="2225"/>
      <c r="P119" s="430"/>
      <c r="Q119" s="431"/>
      <c r="R119" s="431" t="s">
        <v>298</v>
      </c>
      <c r="S119" s="1959"/>
      <c r="T119" s="1959"/>
      <c r="U119" s="1959"/>
      <c r="V119" s="1959"/>
      <c r="W119" s="1546"/>
      <c r="X119" s="3233"/>
      <c r="Y119" s="1372"/>
      <c r="Z119" s="1372"/>
      <c r="AA119" s="1372"/>
      <c r="AB119" s="1372"/>
      <c r="AC119" s="1372"/>
      <c r="AD119" s="1372"/>
      <c r="AE119" s="1372"/>
      <c r="AF119" s="1372"/>
      <c r="AG119" s="1372"/>
      <c r="AH119" s="1372"/>
      <c r="AI119" s="1372"/>
      <c r="AJ119" s="1372"/>
      <c r="AK119" s="1372"/>
      <c r="AL119" s="3233"/>
      <c r="AM119" s="3233"/>
      <c r="AN119" s="3233"/>
      <c r="AO119" s="3233"/>
      <c r="AP119" s="3233"/>
      <c r="AQ119" s="3233"/>
      <c r="AR119" s="3233"/>
    </row>
    <row customHeight="1" ht="17.25">
      <c r="A120" s="1953"/>
      <c r="B120" s="3233"/>
      <c r="C120" s="1955"/>
      <c r="D120" s="1943"/>
      <c r="E120" s="1960"/>
      <c r="F120" s="1897"/>
      <c r="G120" s="1961"/>
      <c r="H120" s="1943"/>
      <c r="I120" s="1943"/>
      <c r="J120" s="1964"/>
      <c r="K120" s="1961"/>
      <c r="L120" s="2221" t="s">
        <v>105</v>
      </c>
      <c r="M120" s="2221" t="s">
        <v>161</v>
      </c>
      <c r="N120" s="2617" t="str">
        <f>IF(Z120="","",INDEX(TERRITORY_MR_LIST,MATCH(Z120,TERRITORY_LIST_ID,0)))</f>
        <v>Территория 14</v>
      </c>
      <c r="O120" s="2298" t="s">
        <v>19</v>
      </c>
      <c r="P120" s="2221"/>
      <c r="Q120" s="2221" t="s">
        <v>187</v>
      </c>
      <c r="R120" s="3241" t="s">
        <v>28</v>
      </c>
      <c r="S120" s="2519" t="s">
        <v>19</v>
      </c>
      <c r="T120" s="1915"/>
      <c r="U120" s="1915" t="s">
        <v>187</v>
      </c>
      <c r="V120" s="1547"/>
      <c r="W120" s="2614"/>
      <c r="X120" s="3233"/>
      <c r="Y120" s="1380"/>
      <c r="Z120" s="1380" t="s">
        <v>162</v>
      </c>
      <c r="AA120" s="1380"/>
      <c r="AB120" s="1380"/>
      <c r="AC120" s="3246" t="s">
        <v>294</v>
      </c>
      <c r="AD120" s="3246" t="s">
        <v>295</v>
      </c>
      <c r="AE120" s="1380" t="s">
        <v>339</v>
      </c>
      <c r="AF120" s="1380" t="s">
        <v>340</v>
      </c>
      <c r="AG120" s="1380" t="s">
        <v>341</v>
      </c>
      <c r="AH120" s="1380" t="str">
        <f>IF($E$79=0,"",$E$79)</f>
        <v>Тариф на питьевую воду (питьевое водоснабжение)</v>
      </c>
      <c r="AI120" s="1380" t="str">
        <f>IF($G$79=0,"",$G$79)</f>
        <v>Холодное водоснабжение. Питьевая вода</v>
      </c>
      <c r="AJ120" s="1380" t="str">
        <f>IF($J$79=0,"",$J$79)</f>
        <v>Питьевая вода</v>
      </c>
      <c r="AK120" s="1380" t="str">
        <f>IF($K$120="нет","без дифференциации",IF($N$120=0,"",$N$120))</f>
        <v>Территория 14</v>
      </c>
      <c r="AL120" s="1957" t="str">
        <f>IF($O$120="нет","без дифференциации",IF($R$120=0,"",$R$120))</f>
        <v>без дифференциации</v>
      </c>
      <c r="AM120" s="1957"/>
      <c r="AN120" s="1380">
        <f>$I$79</f>
        <v>1</v>
      </c>
      <c r="AO120" s="1380" t="str">
        <f>$I$79&amp;"."&amp;$M$120</f>
        <v>1.14</v>
      </c>
      <c r="AP120" s="1380" t="str">
        <f>$I$79&amp;"."&amp;$M$120&amp;"."&amp;$Q$120</f>
        <v>1.14.1</v>
      </c>
      <c r="AQ120" s="1380"/>
      <c r="AR120" s="3233"/>
    </row>
    <row customHeight="1" ht="17.25">
      <c r="A121" s="1953"/>
      <c r="B121" s="3233"/>
      <c r="C121" s="1958"/>
      <c r="D121" s="1943"/>
      <c r="E121" s="1960"/>
      <c r="F121" s="1897"/>
      <c r="G121" s="1961"/>
      <c r="H121" s="1943"/>
      <c r="I121" s="1943"/>
      <c r="J121" s="1964"/>
      <c r="K121" s="1961"/>
      <c r="L121" s="2221"/>
      <c r="M121" s="2221"/>
      <c r="N121" s="2617"/>
      <c r="O121" s="2299"/>
      <c r="P121" s="2221"/>
      <c r="Q121" s="2221"/>
      <c r="R121" s="3241" t="s">
        <v>28</v>
      </c>
      <c r="S121" s="2519"/>
      <c r="T121" s="1548"/>
      <c r="U121" s="1549"/>
      <c r="V121" s="1549"/>
      <c r="W121" s="2614"/>
      <c r="X121" s="3233"/>
      <c r="Y121" s="1372"/>
      <c r="Z121" s="1372"/>
      <c r="AA121" s="1372"/>
      <c r="AB121" s="1372"/>
      <c r="AC121" s="1372"/>
      <c r="AD121" s="1372"/>
      <c r="AE121" s="1372"/>
      <c r="AF121" s="1372"/>
      <c r="AG121" s="1372"/>
      <c r="AH121" s="1372"/>
      <c r="AI121" s="1372"/>
      <c r="AJ121" s="1372"/>
      <c r="AK121" s="1372"/>
      <c r="AL121" s="3233"/>
      <c r="AM121" s="3233"/>
      <c r="AN121" s="3233"/>
      <c r="AO121" s="3233"/>
      <c r="AP121" s="3233"/>
      <c r="AQ121" s="3233"/>
      <c r="AR121" s="3233"/>
    </row>
    <row customHeight="1" ht="17.25">
      <c r="A122" s="1953"/>
      <c r="B122" s="3233"/>
      <c r="C122" s="1958"/>
      <c r="D122" s="1943"/>
      <c r="E122" s="1960"/>
      <c r="F122" s="1897"/>
      <c r="G122" s="1961"/>
      <c r="H122" s="1943"/>
      <c r="I122" s="1943"/>
      <c r="J122" s="1964"/>
      <c r="K122" s="1961"/>
      <c r="L122" s="2616"/>
      <c r="M122" s="2616"/>
      <c r="N122" s="2618"/>
      <c r="O122" s="2225"/>
      <c r="P122" s="430"/>
      <c r="Q122" s="431"/>
      <c r="R122" s="431" t="s">
        <v>298</v>
      </c>
      <c r="S122" s="1959"/>
      <c r="T122" s="1959"/>
      <c r="U122" s="1959"/>
      <c r="V122" s="1959"/>
      <c r="W122" s="1546"/>
      <c r="X122" s="3233"/>
      <c r="Y122" s="1372"/>
      <c r="Z122" s="1372"/>
      <c r="AA122" s="1372"/>
      <c r="AB122" s="1372"/>
      <c r="AC122" s="1372"/>
      <c r="AD122" s="1372"/>
      <c r="AE122" s="1372"/>
      <c r="AF122" s="1372"/>
      <c r="AG122" s="1372"/>
      <c r="AH122" s="1372"/>
      <c r="AI122" s="1372"/>
      <c r="AJ122" s="1372"/>
      <c r="AK122" s="1372"/>
      <c r="AL122" s="3233"/>
      <c r="AM122" s="3233"/>
      <c r="AN122" s="3233"/>
      <c r="AO122" s="3233"/>
      <c r="AP122" s="3233"/>
      <c r="AQ122" s="3233"/>
      <c r="AR122" s="3233"/>
    </row>
    <row customHeight="1" ht="17.25">
      <c r="A123" s="1953"/>
      <c r="B123" s="3233"/>
      <c r="C123" s="1955"/>
      <c r="D123" s="1943"/>
      <c r="E123" s="1960"/>
      <c r="F123" s="1897"/>
      <c r="G123" s="1961"/>
      <c r="H123" s="1943"/>
      <c r="I123" s="1943"/>
      <c r="J123" s="1964"/>
      <c r="K123" s="1961"/>
      <c r="L123" s="2221" t="s">
        <v>105</v>
      </c>
      <c r="M123" s="2221" t="s">
        <v>166</v>
      </c>
      <c r="N123" s="2617" t="str">
        <f>IF(Z123="","",INDEX(TERRITORY_MR_LIST,MATCH(Z123,TERRITORY_LIST_ID,0)))</f>
        <v>Территория 15</v>
      </c>
      <c r="O123" s="2298" t="s">
        <v>19</v>
      </c>
      <c r="P123" s="2221"/>
      <c r="Q123" s="2221" t="s">
        <v>187</v>
      </c>
      <c r="R123" s="3241" t="s">
        <v>28</v>
      </c>
      <c r="S123" s="2519" t="s">
        <v>19</v>
      </c>
      <c r="T123" s="1915"/>
      <c r="U123" s="1915" t="s">
        <v>187</v>
      </c>
      <c r="V123" s="1547"/>
      <c r="W123" s="2614"/>
      <c r="X123" s="3233"/>
      <c r="Y123" s="1380"/>
      <c r="Z123" s="1380" t="s">
        <v>167</v>
      </c>
      <c r="AA123" s="1380"/>
      <c r="AB123" s="1380"/>
      <c r="AC123" s="3246" t="s">
        <v>294</v>
      </c>
      <c r="AD123" s="3246" t="s">
        <v>295</v>
      </c>
      <c r="AE123" s="1380" t="s">
        <v>342</v>
      </c>
      <c r="AF123" s="1380" t="s">
        <v>343</v>
      </c>
      <c r="AG123" s="1380" t="s">
        <v>344</v>
      </c>
      <c r="AH123" s="1380" t="str">
        <f>IF($E$79=0,"",$E$79)</f>
        <v>Тариф на питьевую воду (питьевое водоснабжение)</v>
      </c>
      <c r="AI123" s="1380" t="str">
        <f>IF($G$79=0,"",$G$79)</f>
        <v>Холодное водоснабжение. Питьевая вода</v>
      </c>
      <c r="AJ123" s="1380" t="str">
        <f>IF($J$79=0,"",$J$79)</f>
        <v>Питьевая вода</v>
      </c>
      <c r="AK123" s="1380" t="str">
        <f>IF($K$123="нет","без дифференциации",IF($N$123=0,"",$N$123))</f>
        <v>Территория 15</v>
      </c>
      <c r="AL123" s="1957" t="str">
        <f>IF($O$123="нет","без дифференциации",IF($R$123=0,"",$R$123))</f>
        <v>без дифференциации</v>
      </c>
      <c r="AM123" s="1957"/>
      <c r="AN123" s="1380">
        <f>$I$79</f>
        <v>1</v>
      </c>
      <c r="AO123" s="1380" t="str">
        <f>$I$79&amp;"."&amp;$M$123</f>
        <v>1.15</v>
      </c>
      <c r="AP123" s="1380" t="str">
        <f>$I$79&amp;"."&amp;$M$123&amp;"."&amp;$Q$123</f>
        <v>1.15.1</v>
      </c>
      <c r="AQ123" s="1380"/>
      <c r="AR123" s="3233"/>
    </row>
    <row customHeight="1" ht="17.25">
      <c r="A124" s="1953"/>
      <c r="B124" s="3233"/>
      <c r="C124" s="1958"/>
      <c r="D124" s="1943"/>
      <c r="E124" s="1960"/>
      <c r="F124" s="1897"/>
      <c r="G124" s="1961"/>
      <c r="H124" s="1943"/>
      <c r="I124" s="1943"/>
      <c r="J124" s="1964"/>
      <c r="K124" s="1961"/>
      <c r="L124" s="2221"/>
      <c r="M124" s="2221"/>
      <c r="N124" s="2617"/>
      <c r="O124" s="2299"/>
      <c r="P124" s="2221"/>
      <c r="Q124" s="2221"/>
      <c r="R124" s="3241" t="s">
        <v>28</v>
      </c>
      <c r="S124" s="2519"/>
      <c r="T124" s="1548"/>
      <c r="U124" s="1549"/>
      <c r="V124" s="1549"/>
      <c r="W124" s="2614"/>
      <c r="X124" s="3233"/>
      <c r="Y124" s="1372"/>
      <c r="Z124" s="1372"/>
      <c r="AA124" s="1372"/>
      <c r="AB124" s="1372"/>
      <c r="AC124" s="1372"/>
      <c r="AD124" s="1372"/>
      <c r="AE124" s="1372"/>
      <c r="AF124" s="1372"/>
      <c r="AG124" s="1372"/>
      <c r="AH124" s="1372"/>
      <c r="AI124" s="1372"/>
      <c r="AJ124" s="1372"/>
      <c r="AK124" s="1372"/>
      <c r="AL124" s="3233"/>
      <c r="AM124" s="3233"/>
      <c r="AN124" s="3233"/>
      <c r="AO124" s="3233"/>
      <c r="AP124" s="3233"/>
      <c r="AQ124" s="3233"/>
      <c r="AR124" s="3233"/>
    </row>
    <row customHeight="1" ht="17.25">
      <c r="A125" s="1953"/>
      <c r="B125" s="3233"/>
      <c r="C125" s="1958"/>
      <c r="D125" s="1943"/>
      <c r="E125" s="1960"/>
      <c r="F125" s="1897"/>
      <c r="G125" s="1961"/>
      <c r="H125" s="1943"/>
      <c r="I125" s="1943"/>
      <c r="J125" s="1964"/>
      <c r="K125" s="1961"/>
      <c r="L125" s="2616"/>
      <c r="M125" s="2616"/>
      <c r="N125" s="2618"/>
      <c r="O125" s="2225"/>
      <c r="P125" s="430"/>
      <c r="Q125" s="431"/>
      <c r="R125" s="431" t="s">
        <v>298</v>
      </c>
      <c r="S125" s="1959"/>
      <c r="T125" s="1959"/>
      <c r="U125" s="1959"/>
      <c r="V125" s="1959"/>
      <c r="W125" s="1546"/>
      <c r="X125" s="3233"/>
      <c r="Y125" s="1372"/>
      <c r="Z125" s="1372"/>
      <c r="AA125" s="1372"/>
      <c r="AB125" s="1372"/>
      <c r="AC125" s="1372"/>
      <c r="AD125" s="1372"/>
      <c r="AE125" s="1372"/>
      <c r="AF125" s="1372"/>
      <c r="AG125" s="1372"/>
      <c r="AH125" s="1372"/>
      <c r="AI125" s="1372"/>
      <c r="AJ125" s="1372"/>
      <c r="AK125" s="1372"/>
      <c r="AL125" s="3233"/>
      <c r="AM125" s="3233"/>
      <c r="AN125" s="3233"/>
      <c r="AO125" s="3233"/>
      <c r="AP125" s="3233"/>
      <c r="AQ125" s="3233"/>
      <c r="AR125" s="3233"/>
    </row>
    <row customHeight="1" ht="17.25">
      <c r="A126" s="1953"/>
      <c r="B126" s="3233"/>
      <c r="C126" s="1955"/>
      <c r="D126" s="1943"/>
      <c r="E126" s="1960"/>
      <c r="F126" s="1897"/>
      <c r="G126" s="1961"/>
      <c r="H126" s="1943"/>
      <c r="I126" s="1943"/>
      <c r="J126" s="1964"/>
      <c r="K126" s="1961"/>
      <c r="L126" s="2221" t="s">
        <v>105</v>
      </c>
      <c r="M126" s="2221" t="s">
        <v>171</v>
      </c>
      <c r="N126" s="2617" t="str">
        <f>IF(Z126="","",INDEX(TERRITORY_MR_LIST,MATCH(Z126,TERRITORY_LIST_ID,0)))</f>
        <v>Территория 16</v>
      </c>
      <c r="O126" s="2298" t="s">
        <v>19</v>
      </c>
      <c r="P126" s="2221"/>
      <c r="Q126" s="2221" t="s">
        <v>187</v>
      </c>
      <c r="R126" s="3241" t="s">
        <v>28</v>
      </c>
      <c r="S126" s="2519" t="s">
        <v>19</v>
      </c>
      <c r="T126" s="1915"/>
      <c r="U126" s="1915" t="s">
        <v>187</v>
      </c>
      <c r="V126" s="1547"/>
      <c r="W126" s="2614"/>
      <c r="X126" s="3233"/>
      <c r="Y126" s="1380"/>
      <c r="Z126" s="1380" t="s">
        <v>172</v>
      </c>
      <c r="AA126" s="1380"/>
      <c r="AB126" s="1380"/>
      <c r="AC126" s="3246" t="s">
        <v>294</v>
      </c>
      <c r="AD126" s="3246" t="s">
        <v>295</v>
      </c>
      <c r="AE126" s="1380" t="s">
        <v>345</v>
      </c>
      <c r="AF126" s="1380" t="s">
        <v>346</v>
      </c>
      <c r="AG126" s="1380" t="s">
        <v>347</v>
      </c>
      <c r="AH126" s="1380" t="str">
        <f>IF($E$79=0,"",$E$79)</f>
        <v>Тариф на питьевую воду (питьевое водоснабжение)</v>
      </c>
      <c r="AI126" s="1380" t="str">
        <f>IF($G$79=0,"",$G$79)</f>
        <v>Холодное водоснабжение. Питьевая вода</v>
      </c>
      <c r="AJ126" s="1380" t="str">
        <f>IF($J$79=0,"",$J$79)</f>
        <v>Питьевая вода</v>
      </c>
      <c r="AK126" s="1380" t="str">
        <f>IF($K$126="нет","без дифференциации",IF($N$126=0,"",$N$126))</f>
        <v>Территория 16</v>
      </c>
      <c r="AL126" s="1957" t="str">
        <f>IF($O$126="нет","без дифференциации",IF($R$126=0,"",$R$126))</f>
        <v>без дифференциации</v>
      </c>
      <c r="AM126" s="1957"/>
      <c r="AN126" s="1380">
        <f>$I$79</f>
        <v>1</v>
      </c>
      <c r="AO126" s="1380" t="str">
        <f>$I$79&amp;"."&amp;$M$126</f>
        <v>1.16</v>
      </c>
      <c r="AP126" s="1380" t="str">
        <f>$I$79&amp;"."&amp;$M$126&amp;"."&amp;$Q$126</f>
        <v>1.16.1</v>
      </c>
      <c r="AQ126" s="1380"/>
      <c r="AR126" s="3233"/>
    </row>
    <row customHeight="1" ht="17.25">
      <c r="A127" s="1953"/>
      <c r="B127" s="3233"/>
      <c r="C127" s="1958"/>
      <c r="D127" s="1943"/>
      <c r="E127" s="1960"/>
      <c r="F127" s="1897"/>
      <c r="G127" s="1961"/>
      <c r="H127" s="1943"/>
      <c r="I127" s="1943"/>
      <c r="J127" s="1964"/>
      <c r="K127" s="1961"/>
      <c r="L127" s="2221"/>
      <c r="M127" s="2221"/>
      <c r="N127" s="2617"/>
      <c r="O127" s="2299"/>
      <c r="P127" s="2221"/>
      <c r="Q127" s="2221"/>
      <c r="R127" s="3241" t="s">
        <v>28</v>
      </c>
      <c r="S127" s="2519"/>
      <c r="T127" s="1548"/>
      <c r="U127" s="1549"/>
      <c r="V127" s="1549"/>
      <c r="W127" s="2614"/>
      <c r="X127" s="3233"/>
      <c r="Y127" s="1372"/>
      <c r="Z127" s="1372"/>
      <c r="AA127" s="1372"/>
      <c r="AB127" s="1372"/>
      <c r="AC127" s="1372"/>
      <c r="AD127" s="1372"/>
      <c r="AE127" s="1372"/>
      <c r="AF127" s="1372"/>
      <c r="AG127" s="1372"/>
      <c r="AH127" s="1372"/>
      <c r="AI127" s="1372"/>
      <c r="AJ127" s="1372"/>
      <c r="AK127" s="1372"/>
      <c r="AL127" s="3233"/>
      <c r="AM127" s="3233"/>
      <c r="AN127" s="3233"/>
      <c r="AO127" s="3233"/>
      <c r="AP127" s="3233"/>
      <c r="AQ127" s="3233"/>
      <c r="AR127" s="3233"/>
    </row>
    <row customHeight="1" ht="17.25">
      <c r="A128" s="1953"/>
      <c r="B128" s="3233"/>
      <c r="C128" s="1958"/>
      <c r="D128" s="1943"/>
      <c r="E128" s="1960"/>
      <c r="F128" s="1897"/>
      <c r="G128" s="1961"/>
      <c r="H128" s="1943"/>
      <c r="I128" s="1943"/>
      <c r="J128" s="1964"/>
      <c r="K128" s="1961"/>
      <c r="L128" s="2616"/>
      <c r="M128" s="2616"/>
      <c r="N128" s="2618"/>
      <c r="O128" s="2225"/>
      <c r="P128" s="430"/>
      <c r="Q128" s="431"/>
      <c r="R128" s="431" t="s">
        <v>298</v>
      </c>
      <c r="S128" s="1959"/>
      <c r="T128" s="1959"/>
      <c r="U128" s="1959"/>
      <c r="V128" s="1959"/>
      <c r="W128" s="1546"/>
      <c r="X128" s="3233"/>
      <c r="Y128" s="1372"/>
      <c r="Z128" s="1372"/>
      <c r="AA128" s="1372"/>
      <c r="AB128" s="1372"/>
      <c r="AC128" s="1372"/>
      <c r="AD128" s="1372"/>
      <c r="AE128" s="1372"/>
      <c r="AF128" s="1372"/>
      <c r="AG128" s="1372"/>
      <c r="AH128" s="1372"/>
      <c r="AI128" s="1372"/>
      <c r="AJ128" s="1372"/>
      <c r="AK128" s="1372"/>
      <c r="AL128" s="3233"/>
      <c r="AM128" s="3233"/>
      <c r="AN128" s="3233"/>
      <c r="AO128" s="3233"/>
      <c r="AP128" s="3233"/>
      <c r="AQ128" s="3233"/>
      <c r="AR128" s="3233"/>
    </row>
    <row customHeight="1" ht="17.25">
      <c r="A129" s="1953"/>
      <c r="B129" s="3233"/>
      <c r="C129" s="1955"/>
      <c r="D129" s="1943"/>
      <c r="E129" s="1960"/>
      <c r="F129" s="1897"/>
      <c r="G129" s="1961"/>
      <c r="H129" s="1943"/>
      <c r="I129" s="1943"/>
      <c r="J129" s="1964"/>
      <c r="K129" s="1961"/>
      <c r="L129" s="2221" t="s">
        <v>105</v>
      </c>
      <c r="M129" s="2221" t="s">
        <v>176</v>
      </c>
      <c r="N129" s="2617" t="str">
        <f>IF(Z129="","",INDEX(TERRITORY_MR_LIST,MATCH(Z129,TERRITORY_LIST_ID,0)))</f>
        <v>Территория 17</v>
      </c>
      <c r="O129" s="2298" t="s">
        <v>66</v>
      </c>
      <c r="P129" s="2221"/>
      <c r="Q129" s="2221" t="s">
        <v>187</v>
      </c>
      <c r="R129" s="2615" t="s">
        <v>348</v>
      </c>
      <c r="S129" s="2519" t="s">
        <v>19</v>
      </c>
      <c r="T129" s="1915"/>
      <c r="U129" s="1915" t="s">
        <v>187</v>
      </c>
      <c r="V129" s="1547"/>
      <c r="W129" s="2614"/>
      <c r="X129" s="3233"/>
      <c r="Y129" s="1380"/>
      <c r="Z129" s="1380" t="s">
        <v>177</v>
      </c>
      <c r="AA129" s="1380"/>
      <c r="AB129" s="1380"/>
      <c r="AC129" s="3246" t="s">
        <v>294</v>
      </c>
      <c r="AD129" s="3246" t="s">
        <v>295</v>
      </c>
      <c r="AE129" s="1380" t="s">
        <v>349</v>
      </c>
      <c r="AF129" s="1380" t="s">
        <v>350</v>
      </c>
      <c r="AG129" s="1380" t="s">
        <v>351</v>
      </c>
      <c r="AH129" s="1380" t="str">
        <f>IF($E$79=0,"",$E$79)</f>
        <v>Тариф на питьевую воду (питьевое водоснабжение)</v>
      </c>
      <c r="AI129" s="1380" t="str">
        <f>IF($G$79=0,"",$G$79)</f>
        <v>Холодное водоснабжение. Питьевая вода</v>
      </c>
      <c r="AJ129" s="1380" t="str">
        <f>IF($J$79=0,"",$J$79)</f>
        <v>Питьевая вода</v>
      </c>
      <c r="AK129" s="1380" t="str">
        <f>IF($K$129="нет","без дифференциации",IF($N$129=0,"",$N$129))</f>
        <v>Территория 17</v>
      </c>
      <c r="AL129" s="1957" t="str">
        <f>IF($O$129="нет","без дифференциации",IF($R$129=0,"",$R$129))</f>
        <v>п. Искра</v>
      </c>
      <c r="AM129" s="1957"/>
      <c r="AN129" s="1380">
        <f>$I$79</f>
        <v>1</v>
      </c>
      <c r="AO129" s="1380" t="str">
        <f>$I$79&amp;"."&amp;$M$129</f>
        <v>1.17</v>
      </c>
      <c r="AP129" s="1380" t="str">
        <f>$I$79&amp;"."&amp;$M$129&amp;"."&amp;$Q$129</f>
        <v>1.17.1</v>
      </c>
      <c r="AQ129" s="1380"/>
      <c r="AR129" s="3233"/>
    </row>
    <row customHeight="1" ht="17.25">
      <c r="A130" s="1953"/>
      <c r="B130" s="3233"/>
      <c r="C130" s="1958"/>
      <c r="D130" s="1943"/>
      <c r="E130" s="1960"/>
      <c r="F130" s="1897"/>
      <c r="G130" s="1961"/>
      <c r="H130" s="1943"/>
      <c r="I130" s="1943"/>
      <c r="J130" s="1964"/>
      <c r="K130" s="1961"/>
      <c r="L130" s="2221"/>
      <c r="M130" s="2221"/>
      <c r="N130" s="2617"/>
      <c r="O130" s="2299"/>
      <c r="P130" s="2221"/>
      <c r="Q130" s="2221"/>
      <c r="R130" s="2615"/>
      <c r="S130" s="2519"/>
      <c r="T130" s="1548"/>
      <c r="U130" s="1549"/>
      <c r="V130" s="1549"/>
      <c r="W130" s="2614"/>
      <c r="X130" s="3233"/>
      <c r="Y130" s="1372"/>
      <c r="Z130" s="1372"/>
      <c r="AA130" s="1372"/>
      <c r="AB130" s="1372"/>
      <c r="AC130" s="1372"/>
      <c r="AD130" s="1372"/>
      <c r="AE130" s="1372"/>
      <c r="AF130" s="1372"/>
      <c r="AG130" s="1372"/>
      <c r="AH130" s="1372"/>
      <c r="AI130" s="1372"/>
      <c r="AJ130" s="1372"/>
      <c r="AK130" s="1372"/>
      <c r="AL130" s="3233"/>
      <c r="AM130" s="3233"/>
      <c r="AN130" s="3233"/>
      <c r="AO130" s="3233"/>
      <c r="AP130" s="3233"/>
      <c r="AQ130" s="3233"/>
      <c r="AR130" s="3233"/>
    </row>
    <row customHeight="1" ht="17.25">
      <c r="A131" s="1953"/>
      <c r="B131" s="3233"/>
      <c r="C131" s="1955"/>
      <c r="D131" s="1943"/>
      <c r="E131" s="1960"/>
      <c r="F131" s="1897"/>
      <c r="G131" s="1961"/>
      <c r="H131" s="1943"/>
      <c r="I131" s="1943"/>
      <c r="J131" s="1964"/>
      <c r="K131" s="1961"/>
      <c r="L131" s="1943"/>
      <c r="M131" s="1943"/>
      <c r="N131" s="2161"/>
      <c r="O131" s="1900"/>
      <c r="P131" s="2221" t="s">
        <v>105</v>
      </c>
      <c r="Q131" s="2221" t="s">
        <v>104</v>
      </c>
      <c r="R131" s="2615" t="s">
        <v>352</v>
      </c>
      <c r="S131" s="2519" t="s">
        <v>19</v>
      </c>
      <c r="T131" s="1915"/>
      <c r="U131" s="1915" t="s">
        <v>187</v>
      </c>
      <c r="V131" s="1547"/>
      <c r="W131" s="2614"/>
      <c r="X131" s="3233"/>
      <c r="Y131" s="1380"/>
      <c r="Z131" s="1380"/>
      <c r="AA131" s="1380"/>
      <c r="AB131" s="1380"/>
      <c r="AC131" s="3246" t="s">
        <v>294</v>
      </c>
      <c r="AD131" s="3246" t="s">
        <v>295</v>
      </c>
      <c r="AE131" s="3246" t="s">
        <v>349</v>
      </c>
      <c r="AF131" s="1380" t="s">
        <v>353</v>
      </c>
      <c r="AG131" s="1380" t="s">
        <v>354</v>
      </c>
      <c r="AH131" s="1380" t="str">
        <f>IF($E$79=0,"",$E$79)</f>
        <v>Тариф на питьевую воду (питьевое водоснабжение)</v>
      </c>
      <c r="AI131" s="1380" t="str">
        <f>IF($G$79=0,"",$G$79)</f>
        <v>Холодное водоснабжение. Питьевая вода</v>
      </c>
      <c r="AJ131" s="1380" t="str">
        <f>IF($J$79=0,"",$J$79)</f>
        <v>Питьевая вода</v>
      </c>
      <c r="AK131" s="1380" t="str">
        <f>IF($K$129="нет","без дифференциации",IF($N$129=0,"",$N$129))</f>
        <v>Территория 17</v>
      </c>
      <c r="AL131" s="1957" t="str">
        <f>IF($O$131="нет","без дифференциации",IF($R$131=0,"",$R$131))</f>
        <v>кроме п. Искра</v>
      </c>
      <c r="AM131" s="1957"/>
      <c r="AN131" s="1380">
        <f>$I$79</f>
        <v>1</v>
      </c>
      <c r="AO131" s="1380" t="str">
        <f>$I$79&amp;"."&amp;$M$129</f>
        <v>1.17</v>
      </c>
      <c r="AP131" s="1380" t="str">
        <f>$I$79&amp;"."&amp;$M$129&amp;"."&amp;$Q$131</f>
        <v>1.17.2</v>
      </c>
      <c r="AQ131" s="1380"/>
      <c r="AR131" s="3233"/>
    </row>
    <row customHeight="1" ht="17.25">
      <c r="A132" s="1953"/>
      <c r="B132" s="3233"/>
      <c r="C132" s="1958"/>
      <c r="D132" s="1943"/>
      <c r="E132" s="1960"/>
      <c r="F132" s="1897"/>
      <c r="G132" s="1961"/>
      <c r="H132" s="1943"/>
      <c r="I132" s="1943"/>
      <c r="J132" s="1964"/>
      <c r="K132" s="1961"/>
      <c r="L132" s="1943"/>
      <c r="M132" s="1943"/>
      <c r="N132" s="2161"/>
      <c r="O132" s="1900"/>
      <c r="P132" s="2221"/>
      <c r="Q132" s="2221"/>
      <c r="R132" s="2615"/>
      <c r="S132" s="2519"/>
      <c r="T132" s="1548"/>
      <c r="U132" s="1549"/>
      <c r="V132" s="1549"/>
      <c r="W132" s="2614"/>
      <c r="X132" s="3233"/>
      <c r="Y132" s="1372"/>
      <c r="Z132" s="1372"/>
      <c r="AA132" s="1372"/>
      <c r="AB132" s="1372"/>
      <c r="AC132" s="1372"/>
      <c r="AD132" s="1372"/>
      <c r="AE132" s="1372"/>
      <c r="AF132" s="1372"/>
      <c r="AG132" s="1372"/>
      <c r="AH132" s="1372"/>
      <c r="AI132" s="1372"/>
      <c r="AJ132" s="1372"/>
      <c r="AK132" s="1372"/>
      <c r="AL132" s="3233"/>
      <c r="AM132" s="3233"/>
      <c r="AN132" s="3233"/>
      <c r="AO132" s="3233"/>
      <c r="AP132" s="3233"/>
      <c r="AQ132" s="3233"/>
      <c r="AR132" s="3233"/>
    </row>
    <row customHeight="1" ht="17.25">
      <c r="A133" s="1953"/>
      <c r="B133" s="3233"/>
      <c r="C133" s="1958"/>
      <c r="D133" s="1943"/>
      <c r="E133" s="1960"/>
      <c r="F133" s="1897"/>
      <c r="G133" s="1961"/>
      <c r="H133" s="1943"/>
      <c r="I133" s="1943"/>
      <c r="J133" s="1964"/>
      <c r="K133" s="1961"/>
      <c r="L133" s="2616"/>
      <c r="M133" s="2616"/>
      <c r="N133" s="2618"/>
      <c r="O133" s="2225"/>
      <c r="P133" s="430"/>
      <c r="Q133" s="431"/>
      <c r="R133" s="431" t="s">
        <v>298</v>
      </c>
      <c r="S133" s="1959"/>
      <c r="T133" s="1959"/>
      <c r="U133" s="1959"/>
      <c r="V133" s="1959"/>
      <c r="W133" s="1546"/>
      <c r="X133" s="3233"/>
      <c r="Y133" s="1372"/>
      <c r="Z133" s="1372"/>
      <c r="AA133" s="1372"/>
      <c r="AB133" s="1372"/>
      <c r="AC133" s="1372"/>
      <c r="AD133" s="1372"/>
      <c r="AE133" s="1372"/>
      <c r="AF133" s="1372"/>
      <c r="AG133" s="1372"/>
      <c r="AH133" s="1372"/>
      <c r="AI133" s="1372"/>
      <c r="AJ133" s="1372"/>
      <c r="AK133" s="1372"/>
      <c r="AL133" s="3233"/>
      <c r="AM133" s="3233"/>
      <c r="AN133" s="3233"/>
      <c r="AO133" s="3233"/>
      <c r="AP133" s="3233"/>
      <c r="AQ133" s="3233"/>
      <c r="AR133" s="3233"/>
    </row>
    <row s="8491" customFormat="1" customHeight="1" ht="17.25">
      <c r="A134" s="434"/>
      <c r="C134" s="433"/>
      <c r="D134" s="2248"/>
      <c r="E134" s="2256"/>
      <c r="F134" s="2259"/>
      <c r="G134" s="3207"/>
      <c r="H134" s="3219"/>
      <c r="I134" s="3219"/>
      <c r="J134" s="3220"/>
      <c r="K134" s="3222"/>
      <c r="L134" s="3261"/>
      <c r="M134" s="3262"/>
      <c r="N134" s="3263" t="s">
        <v>355</v>
      </c>
      <c r="O134" s="3264"/>
      <c r="P134" s="3265"/>
      <c r="Q134" s="3266"/>
      <c r="R134" s="3267"/>
      <c r="S134" s="3268"/>
      <c r="T134" s="3269"/>
      <c r="U134" s="3270"/>
      <c r="V134" s="3271"/>
      <c r="W134" s="3272"/>
      <c r="Y134" s="1372"/>
      <c r="Z134" s="1372"/>
      <c r="AA134" s="1372"/>
      <c r="AB134" s="1372"/>
      <c r="AC134" s="1372"/>
      <c r="AD134" s="1372"/>
      <c r="AE134" s="1372"/>
      <c r="AF134" s="1372"/>
      <c r="AG134" s="1372"/>
      <c r="AH134" s="1372"/>
      <c r="AI134" s="1372"/>
      <c r="AJ134" s="1372"/>
      <c r="AK134" s="1372"/>
      <c r="AL134" s="1372"/>
      <c r="AM134" s="1372"/>
      <c r="AN134" s="1372"/>
      <c r="AO134" s="1372"/>
      <c r="AP134" s="1372"/>
      <c r="AQ134" s="1372"/>
      <c r="AR134" s="1554">
        <v>0</v>
      </c>
    </row>
    <row s="8491" customFormat="1" customHeight="1" ht="17.25">
      <c r="A135" s="434"/>
      <c r="C135" s="433"/>
      <c r="D135" s="2249"/>
      <c r="E135" s="2257"/>
      <c r="F135" s="2260"/>
      <c r="G135" s="3273"/>
      <c r="H135" s="3274"/>
      <c r="I135" s="3275"/>
      <c r="J135" s="3276" t="s">
        <v>356</v>
      </c>
      <c r="K135" s="3277"/>
      <c r="L135" s="3278"/>
      <c r="M135" s="3279"/>
      <c r="N135" s="3280"/>
      <c r="O135" s="3281"/>
      <c r="P135" s="3282"/>
      <c r="Q135" s="3283"/>
      <c r="R135" s="3284"/>
      <c r="S135" s="3285"/>
      <c r="T135" s="3286"/>
      <c r="U135" s="3287"/>
      <c r="V135" s="3288"/>
      <c r="W135" s="3289"/>
      <c r="Y135" s="1372"/>
      <c r="Z135" s="1372"/>
      <c r="AA135" s="1372"/>
      <c r="AB135" s="1372"/>
      <c r="AC135" s="1372"/>
      <c r="AD135" s="1372"/>
      <c r="AE135" s="1372"/>
      <c r="AF135" s="1372"/>
      <c r="AG135" s="1372"/>
      <c r="AH135" s="1372"/>
      <c r="AI135" s="1372"/>
      <c r="AJ135" s="1372"/>
      <c r="AK135" s="1372"/>
      <c r="AL135" s="1372"/>
      <c r="AM135" s="1372"/>
      <c r="AN135" s="1372"/>
      <c r="AO135" s="1372"/>
      <c r="AP135" s="1372"/>
      <c r="AQ135" s="1372"/>
      <c r="AR135" s="1463">
        <v>0</v>
      </c>
    </row>
    <row s="8491" customFormat="1" customHeight="1" ht="17.25">
      <c r="A136" s="434"/>
      <c r="C136" s="322"/>
      <c r="D136" s="2248">
        <v>2</v>
      </c>
      <c r="E136" s="2256" t="s">
        <v>357</v>
      </c>
      <c r="F136" s="2258" t="s">
        <v>19</v>
      </c>
      <c r="G136" s="2256"/>
      <c r="H136" s="2261"/>
      <c r="I136" s="2263"/>
      <c r="J136" s="2265"/>
      <c r="K136" s="2250"/>
      <c r="L136" s="2250"/>
      <c r="M136" s="2250"/>
      <c r="N136" s="2252"/>
      <c r="O136" s="2250"/>
      <c r="P136" s="2250"/>
      <c r="Q136" s="2250"/>
      <c r="R136" s="2255"/>
      <c r="S136" s="2250"/>
      <c r="T136" s="1556"/>
      <c r="U136" s="1556"/>
      <c r="V136" s="1558"/>
      <c r="W136" s="1409"/>
      <c r="X136" s="1380"/>
      <c r="Y136" s="1380"/>
      <c r="Z136" s="1380"/>
      <c r="AA136" s="1380"/>
      <c r="AB136" s="1380"/>
      <c r="AC136" s="1380" t="s">
        <v>358</v>
      </c>
      <c r="AD136" s="1380" t="s">
        <v>359</v>
      </c>
      <c r="AE136" s="1380" t="s">
        <v>360</v>
      </c>
      <c r="AF136" s="1380" t="s">
        <v>361</v>
      </c>
      <c r="AG136" s="1380"/>
      <c r="AH136" s="1380" t="str">
        <f>IF($E$136=0,"",$E$136)</f>
        <v>Тариф на техническую воду</v>
      </c>
      <c r="AI136" s="1380" t="str">
        <f>IF($G$136=0,"",$G$136)</f>
        <v/>
      </c>
      <c r="AJ136" s="1380" t="str">
        <f>IF($J$136=0,"",$J$136)</f>
        <v/>
      </c>
      <c r="AK136" s="1380" t="str">
        <f>IF($K$136="нет","без дифференциации",IF($N$136=0,"",$N$136))</f>
        <v/>
      </c>
      <c r="AL136" s="1380" t="str">
        <f>IF($O$136="нет","без дифференциации",IF($R$136=0,"",$R$136))</f>
        <v/>
      </c>
      <c r="AM136" s="1380" t="str">
        <f>IF($S$136="нет","без дифференциации",IF($V$136=0,"",$V$136))</f>
        <v/>
      </c>
      <c r="AN136" s="1885">
        <f>$I$136</f>
        <v>0</v>
      </c>
      <c r="AO136" s="1380" t="str">
        <f>$I$136&amp;"."&amp;$M$136</f>
        <v>.</v>
      </c>
      <c r="AP136" s="1372" t="str">
        <f>$I$136&amp;"."&amp;$M$136&amp;"."&amp;$Q$136</f>
        <v>..</v>
      </c>
      <c r="AQ136" s="1372" t="str">
        <f>$I$136&amp;"."&amp;$M$136&amp;"."&amp;$Q$136&amp;"."&amp;$U$136</f>
        <v>...</v>
      </c>
      <c r="AR136" s="1463">
        <v>0</v>
      </c>
    </row>
    <row s="8491" customFormat="1" customHeight="1" ht="17.25">
      <c r="A137" s="434"/>
      <c r="C137" s="433"/>
      <c r="D137" s="2248"/>
      <c r="E137" s="2256"/>
      <c r="F137" s="2259"/>
      <c r="G137" s="2256"/>
      <c r="H137" s="2262"/>
      <c r="I137" s="2264"/>
      <c r="J137" s="2266"/>
      <c r="K137" s="2251"/>
      <c r="L137" s="2251"/>
      <c r="M137" s="2251"/>
      <c r="N137" s="2253"/>
      <c r="O137" s="2251"/>
      <c r="P137" s="2251"/>
      <c r="Q137" s="2251"/>
      <c r="R137" s="2254"/>
      <c r="S137" s="2251"/>
      <c r="T137" s="1410"/>
      <c r="U137" s="1410"/>
      <c r="V137" s="1410"/>
      <c r="W137" s="1411"/>
      <c r="X137" s="1372"/>
      <c r="Y137" s="1372"/>
      <c r="Z137" s="1372"/>
      <c r="AA137" s="1372"/>
      <c r="AB137" s="1372"/>
      <c r="AC137" s="1372"/>
      <c r="AD137" s="1372"/>
      <c r="AE137" s="1372"/>
      <c r="AF137" s="1372"/>
      <c r="AG137" s="1372"/>
      <c r="AH137" s="1372"/>
      <c r="AI137" s="1372"/>
      <c r="AJ137" s="1372"/>
      <c r="AK137" s="1372"/>
      <c r="AL137" s="1372"/>
      <c r="AM137" s="1372"/>
      <c r="AN137" s="1372"/>
      <c r="AO137" s="1372"/>
      <c r="AP137" s="1372"/>
      <c r="AQ137" s="1372"/>
      <c r="AR137" s="1463">
        <v>0</v>
      </c>
    </row>
    <row s="8491" customFormat="1" customHeight="1" ht="17.25">
      <c r="A138" s="434"/>
      <c r="C138" s="433"/>
      <c r="D138" s="2249"/>
      <c r="E138" s="2257"/>
      <c r="F138" s="2259"/>
      <c r="G138" s="2257"/>
      <c r="H138" s="2262"/>
      <c r="I138" s="2264"/>
      <c r="J138" s="2267"/>
      <c r="K138" s="2251"/>
      <c r="L138" s="2251"/>
      <c r="M138" s="2251"/>
      <c r="N138" s="2254"/>
      <c r="O138" s="2251"/>
      <c r="P138" s="1557"/>
      <c r="Q138" s="1410"/>
      <c r="R138" s="1410"/>
      <c r="S138" s="442"/>
      <c r="T138" s="442"/>
      <c r="U138" s="442"/>
      <c r="V138" s="442"/>
      <c r="W138" s="1411"/>
      <c r="X138" s="1372"/>
      <c r="Y138" s="1372"/>
      <c r="Z138" s="1372"/>
      <c r="AA138" s="1372"/>
      <c r="AB138" s="1372"/>
      <c r="AC138" s="1372"/>
      <c r="AD138" s="1372"/>
      <c r="AE138" s="1372"/>
      <c r="AF138" s="1372"/>
      <c r="AG138" s="1372"/>
      <c r="AH138" s="1372"/>
      <c r="AI138" s="1372"/>
      <c r="AJ138" s="1372"/>
      <c r="AK138" s="1372"/>
      <c r="AL138" s="1372"/>
      <c r="AM138" s="1372"/>
      <c r="AN138" s="1372"/>
      <c r="AO138" s="1372"/>
      <c r="AP138" s="1372"/>
      <c r="AQ138" s="1372"/>
      <c r="AR138" s="1463">
        <v>0</v>
      </c>
    </row>
    <row s="8491" customFormat="1" customHeight="1" ht="17.25">
      <c r="A139" s="434"/>
      <c r="C139" s="433"/>
      <c r="D139" s="2249"/>
      <c r="E139" s="2257"/>
      <c r="F139" s="2259"/>
      <c r="G139" s="2257"/>
      <c r="H139" s="2262"/>
      <c r="I139" s="2264"/>
      <c r="J139" s="2267"/>
      <c r="K139" s="2251"/>
      <c r="L139" s="1410"/>
      <c r="M139" s="1410"/>
      <c r="N139" s="1410"/>
      <c r="O139" s="1410"/>
      <c r="P139" s="1410"/>
      <c r="Q139" s="1410"/>
      <c r="R139" s="1410"/>
      <c r="S139" s="442"/>
      <c r="T139" s="442"/>
      <c r="U139" s="442"/>
      <c r="V139" s="442"/>
      <c r="W139" s="1411"/>
      <c r="X139" s="1372"/>
      <c r="Y139" s="1372"/>
      <c r="Z139" s="1372"/>
      <c r="AA139" s="1372"/>
      <c r="AB139" s="1372"/>
      <c r="AC139" s="1372"/>
      <c r="AD139" s="1372"/>
      <c r="AE139" s="1372"/>
      <c r="AF139" s="1372"/>
      <c r="AG139" s="1372"/>
      <c r="AH139" s="1372"/>
      <c r="AI139" s="1372"/>
      <c r="AJ139" s="1372"/>
      <c r="AK139" s="1372"/>
      <c r="AL139" s="1372"/>
      <c r="AM139" s="1372"/>
      <c r="AN139" s="1372"/>
      <c r="AO139" s="1372"/>
      <c r="AP139" s="1372"/>
      <c r="AQ139" s="1372"/>
      <c r="AR139" s="1463">
        <v>0</v>
      </c>
    </row>
    <row s="8491" customFormat="1" customHeight="1" ht="17.25">
      <c r="A140" s="434"/>
      <c r="C140" s="433"/>
      <c r="D140" s="2249"/>
      <c r="E140" s="2257"/>
      <c r="F140" s="2260"/>
      <c r="G140" s="2257"/>
      <c r="H140" s="1412"/>
      <c r="I140" s="1413"/>
      <c r="J140" s="1413"/>
      <c r="K140" s="1413"/>
      <c r="L140" s="1413"/>
      <c r="M140" s="1413"/>
      <c r="N140" s="1413"/>
      <c r="O140" s="1413"/>
      <c r="P140" s="1413"/>
      <c r="Q140" s="1413"/>
      <c r="R140" s="1413"/>
      <c r="S140" s="1414"/>
      <c r="T140" s="1414"/>
      <c r="U140" s="1414"/>
      <c r="V140" s="1414"/>
      <c r="W140" s="1415"/>
      <c r="X140" s="1372"/>
      <c r="Y140" s="1372"/>
      <c r="Z140" s="1372"/>
      <c r="AA140" s="1372"/>
      <c r="AB140" s="1372"/>
      <c r="AC140" s="1372"/>
      <c r="AD140" s="1372"/>
      <c r="AE140" s="1372"/>
      <c r="AF140" s="1372"/>
      <c r="AG140" s="1372"/>
      <c r="AH140" s="1372"/>
      <c r="AI140" s="1372"/>
      <c r="AJ140" s="1372"/>
      <c r="AK140" s="1372"/>
      <c r="AL140" s="1372"/>
      <c r="AM140" s="1372"/>
      <c r="AN140" s="1372"/>
      <c r="AO140" s="1372"/>
      <c r="AP140" s="1372"/>
      <c r="AQ140" s="1372"/>
      <c r="AR140" s="1463">
        <v>0</v>
      </c>
    </row>
    <row s="8491" customFormat="1" customHeight="1" ht="17.25">
      <c r="A141" s="434"/>
      <c r="C141" s="322"/>
      <c r="D141" s="2248">
        <v>3</v>
      </c>
      <c r="E141" s="2256" t="s">
        <v>362</v>
      </c>
      <c r="F141" s="2258" t="s">
        <v>19</v>
      </c>
      <c r="G141" s="2256"/>
      <c r="H141" s="2261"/>
      <c r="I141" s="2263"/>
      <c r="J141" s="2265"/>
      <c r="K141" s="2250"/>
      <c r="L141" s="2250"/>
      <c r="M141" s="2250"/>
      <c r="N141" s="2252"/>
      <c r="O141" s="2250"/>
      <c r="P141" s="2250"/>
      <c r="Q141" s="2250"/>
      <c r="R141" s="2255"/>
      <c r="S141" s="2250"/>
      <c r="T141" s="1556"/>
      <c r="U141" s="1556"/>
      <c r="V141" s="1558"/>
      <c r="W141" s="1409"/>
      <c r="X141" s="1380"/>
      <c r="Y141" s="1380"/>
      <c r="Z141" s="1380"/>
      <c r="AA141" s="1380"/>
      <c r="AB141" s="1380"/>
      <c r="AC141" s="1380" t="s">
        <v>363</v>
      </c>
      <c r="AD141" s="1380" t="s">
        <v>364</v>
      </c>
      <c r="AE141" s="1380" t="s">
        <v>365</v>
      </c>
      <c r="AF141" s="1380" t="s">
        <v>366</v>
      </c>
      <c r="AG141" s="1380"/>
      <c r="AH141" s="1380" t="str">
        <f>IF($E$141=0,"",$E$141)</f>
        <v>Тариф на транспортировку воды</v>
      </c>
      <c r="AI141" s="1380" t="str">
        <f>IF($G$141=0,"",$G$141)</f>
        <v/>
      </c>
      <c r="AJ141" s="1380" t="str">
        <f>IF($J$141=0,"",$J$141)</f>
        <v/>
      </c>
      <c r="AK141" s="1380" t="str">
        <f>IF($K$141="нет","без дифференциации",IF($N$141=0,"",$N$141))</f>
        <v/>
      </c>
      <c r="AL141" s="1380" t="str">
        <f>IF($O$141="нет","без дифференциации",IF($R$141=0,"",$R$141))</f>
        <v/>
      </c>
      <c r="AM141" s="1380" t="str">
        <f>IF($S$141="нет","без дифференциации",IF($V$141=0,"",$V$141))</f>
        <v/>
      </c>
      <c r="AN141" s="1885">
        <f>$I$141</f>
        <v>0</v>
      </c>
      <c r="AO141" s="1380" t="str">
        <f>$I$141&amp;"."&amp;$M$141</f>
        <v>.</v>
      </c>
      <c r="AP141" s="1372" t="str">
        <f>$I$141&amp;"."&amp;$M$141&amp;"."&amp;$Q$141</f>
        <v>..</v>
      </c>
      <c r="AQ141" s="1372" t="str">
        <f>$I$141&amp;"."&amp;$M$141&amp;"."&amp;$Q$141&amp;"."&amp;$U$141</f>
        <v>...</v>
      </c>
      <c r="AR141" s="1463">
        <v>0</v>
      </c>
    </row>
    <row s="8491" customFormat="1" customHeight="1" ht="17.25">
      <c r="A142" s="434"/>
      <c r="C142" s="433"/>
      <c r="D142" s="2248"/>
      <c r="E142" s="2256"/>
      <c r="F142" s="2259"/>
      <c r="G142" s="2256"/>
      <c r="H142" s="2262"/>
      <c r="I142" s="2264"/>
      <c r="J142" s="2266"/>
      <c r="K142" s="2251"/>
      <c r="L142" s="2251"/>
      <c r="M142" s="2251"/>
      <c r="N142" s="2253"/>
      <c r="O142" s="2251"/>
      <c r="P142" s="2251"/>
      <c r="Q142" s="2251"/>
      <c r="R142" s="2254"/>
      <c r="S142" s="2251"/>
      <c r="T142" s="1410"/>
      <c r="U142" s="1410"/>
      <c r="V142" s="1410"/>
      <c r="W142" s="1411"/>
      <c r="X142" s="1372"/>
      <c r="Y142" s="1372"/>
      <c r="Z142" s="1372"/>
      <c r="AA142" s="1372"/>
      <c r="AB142" s="1372"/>
      <c r="AC142" s="1372"/>
      <c r="AD142" s="1372"/>
      <c r="AE142" s="1372"/>
      <c r="AF142" s="1372"/>
      <c r="AG142" s="1372"/>
      <c r="AH142" s="1372"/>
      <c r="AI142" s="1372"/>
      <c r="AJ142" s="1372"/>
      <c r="AK142" s="1372"/>
      <c r="AL142" s="1372"/>
      <c r="AM142" s="1372"/>
      <c r="AN142" s="1372"/>
      <c r="AO142" s="1372"/>
      <c r="AP142" s="1372"/>
      <c r="AQ142" s="1372"/>
      <c r="AR142" s="1463">
        <v>0</v>
      </c>
    </row>
    <row s="8491" customFormat="1" customHeight="1" ht="17.25">
      <c r="A143" s="434"/>
      <c r="C143" s="433"/>
      <c r="D143" s="2249"/>
      <c r="E143" s="2257"/>
      <c r="F143" s="2259"/>
      <c r="G143" s="2257"/>
      <c r="H143" s="2262"/>
      <c r="I143" s="2264"/>
      <c r="J143" s="2267"/>
      <c r="K143" s="2251"/>
      <c r="L143" s="2251"/>
      <c r="M143" s="2251"/>
      <c r="N143" s="2254"/>
      <c r="O143" s="2251"/>
      <c r="P143" s="1557"/>
      <c r="Q143" s="1410"/>
      <c r="R143" s="1410"/>
      <c r="S143" s="442"/>
      <c r="T143" s="442"/>
      <c r="U143" s="442"/>
      <c r="V143" s="442"/>
      <c r="W143" s="1411"/>
      <c r="X143" s="1372"/>
      <c r="Y143" s="1372"/>
      <c r="Z143" s="1372"/>
      <c r="AA143" s="1372"/>
      <c r="AB143" s="1372"/>
      <c r="AC143" s="1372"/>
      <c r="AD143" s="1372"/>
      <c r="AE143" s="1372"/>
      <c r="AF143" s="1372"/>
      <c r="AG143" s="1372"/>
      <c r="AH143" s="1372"/>
      <c r="AI143" s="1372"/>
      <c r="AJ143" s="1372"/>
      <c r="AK143" s="1372"/>
      <c r="AL143" s="1372"/>
      <c r="AM143" s="1372"/>
      <c r="AN143" s="1372"/>
      <c r="AO143" s="1372"/>
      <c r="AP143" s="1372"/>
      <c r="AQ143" s="1372"/>
      <c r="AR143" s="1463">
        <v>0</v>
      </c>
    </row>
    <row s="8491" customFormat="1" customHeight="1" ht="17.25">
      <c r="A144" s="434"/>
      <c r="C144" s="433"/>
      <c r="D144" s="2249"/>
      <c r="E144" s="2257"/>
      <c r="F144" s="2259"/>
      <c r="G144" s="2257"/>
      <c r="H144" s="2262"/>
      <c r="I144" s="2264"/>
      <c r="J144" s="2267"/>
      <c r="K144" s="2251"/>
      <c r="L144" s="1410"/>
      <c r="M144" s="1410"/>
      <c r="N144" s="1410"/>
      <c r="O144" s="1410"/>
      <c r="P144" s="1410"/>
      <c r="Q144" s="1410"/>
      <c r="R144" s="1410"/>
      <c r="S144" s="442"/>
      <c r="T144" s="442"/>
      <c r="U144" s="442"/>
      <c r="V144" s="442"/>
      <c r="W144" s="1411"/>
      <c r="X144" s="1372"/>
      <c r="Y144" s="1372"/>
      <c r="Z144" s="1372"/>
      <c r="AA144" s="1372"/>
      <c r="AB144" s="1372"/>
      <c r="AC144" s="1372"/>
      <c r="AD144" s="1372"/>
      <c r="AE144" s="1372"/>
      <c r="AF144" s="1372"/>
      <c r="AG144" s="1372"/>
      <c r="AH144" s="1372"/>
      <c r="AI144" s="1372"/>
      <c r="AJ144" s="1372"/>
      <c r="AK144" s="1372"/>
      <c r="AL144" s="1372"/>
      <c r="AM144" s="1372"/>
      <c r="AN144" s="1372"/>
      <c r="AO144" s="1372"/>
      <c r="AP144" s="1372"/>
      <c r="AQ144" s="1372"/>
      <c r="AR144" s="1463">
        <v>0</v>
      </c>
    </row>
    <row s="8491" customFormat="1" customHeight="1" ht="17.25">
      <c r="A145" s="434"/>
      <c r="C145" s="433"/>
      <c r="D145" s="2249"/>
      <c r="E145" s="2257"/>
      <c r="F145" s="2260"/>
      <c r="G145" s="2257"/>
      <c r="H145" s="1412"/>
      <c r="I145" s="1413"/>
      <c r="J145" s="1413"/>
      <c r="K145" s="1413"/>
      <c r="L145" s="1413"/>
      <c r="M145" s="1413"/>
      <c r="N145" s="1413"/>
      <c r="O145" s="1413"/>
      <c r="P145" s="1413"/>
      <c r="Q145" s="1413"/>
      <c r="R145" s="1413"/>
      <c r="S145" s="1414"/>
      <c r="T145" s="1414"/>
      <c r="U145" s="1414"/>
      <c r="V145" s="1414"/>
      <c r="W145" s="1415"/>
      <c r="X145" s="1372"/>
      <c r="Y145" s="1372"/>
      <c r="Z145" s="1372"/>
      <c r="AA145" s="1372"/>
      <c r="AB145" s="1372"/>
      <c r="AC145" s="1372"/>
      <c r="AD145" s="1372"/>
      <c r="AE145" s="1372"/>
      <c r="AF145" s="1372"/>
      <c r="AG145" s="1372"/>
      <c r="AH145" s="1372"/>
      <c r="AI145" s="1372"/>
      <c r="AJ145" s="1372"/>
      <c r="AK145" s="1372"/>
      <c r="AL145" s="1372"/>
      <c r="AM145" s="1372"/>
      <c r="AN145" s="1372"/>
      <c r="AO145" s="1372"/>
      <c r="AP145" s="1372"/>
      <c r="AQ145" s="1372"/>
      <c r="AR145" s="1463">
        <v>0</v>
      </c>
    </row>
    <row s="8491" customFormat="1" customHeight="1" ht="17.25">
      <c r="A146" s="434"/>
      <c r="C146" s="322"/>
      <c r="D146" s="2248">
        <v>4</v>
      </c>
      <c r="E146" s="2256" t="s">
        <v>367</v>
      </c>
      <c r="F146" s="2258" t="s">
        <v>19</v>
      </c>
      <c r="G146" s="2256"/>
      <c r="H146" s="2261"/>
      <c r="I146" s="2263"/>
      <c r="J146" s="2265"/>
      <c r="K146" s="2250"/>
      <c r="L146" s="2250"/>
      <c r="M146" s="2250"/>
      <c r="N146" s="2252"/>
      <c r="O146" s="2250"/>
      <c r="P146" s="2250"/>
      <c r="Q146" s="2250"/>
      <c r="R146" s="2255"/>
      <c r="S146" s="2250"/>
      <c r="T146" s="1556"/>
      <c r="U146" s="1556"/>
      <c r="V146" s="1558"/>
      <c r="W146" s="1409"/>
      <c r="X146" s="1380"/>
      <c r="Y146" s="1380"/>
      <c r="Z146" s="1380"/>
      <c r="AA146" s="1380"/>
      <c r="AB146" s="1380"/>
      <c r="AC146" s="1380" t="s">
        <v>368</v>
      </c>
      <c r="AD146" s="1380" t="s">
        <v>369</v>
      </c>
      <c r="AE146" s="1380" t="s">
        <v>370</v>
      </c>
      <c r="AF146" s="1380" t="s">
        <v>371</v>
      </c>
      <c r="AG146" s="1380"/>
      <c r="AH146" s="1380" t="str">
        <f>IF($E$146=0,"",$E$146)</f>
        <v>Тариф на подвоз воды</v>
      </c>
      <c r="AI146" s="1380" t="str">
        <f>IF($G$146=0,"",$G$146)</f>
        <v/>
      </c>
      <c r="AJ146" s="1380" t="str">
        <f>IF($J$146=0,"",$J$146)</f>
        <v/>
      </c>
      <c r="AK146" s="1380" t="str">
        <f>IF($K$146="нет","без дифференциации",IF($N$146=0,"",$N$146))</f>
        <v/>
      </c>
      <c r="AL146" s="1380" t="str">
        <f>IF($O$146="нет","без дифференциации",IF($R$146=0,"",$R$146))</f>
        <v/>
      </c>
      <c r="AM146" s="1380" t="str">
        <f>IF($S$146="нет","без дифференциации",IF($V$146=0,"",$V$146))</f>
        <v/>
      </c>
      <c r="AN146" s="1885">
        <f>$I$146</f>
        <v>0</v>
      </c>
      <c r="AO146" s="1380" t="str">
        <f>$I$146&amp;"."&amp;$M$146</f>
        <v>.</v>
      </c>
      <c r="AP146" s="1372" t="str">
        <f>$I$146&amp;"."&amp;$M$146&amp;"."&amp;$Q$146</f>
        <v>..</v>
      </c>
      <c r="AQ146" s="1372" t="str">
        <f>$I$146&amp;"."&amp;$M$146&amp;"."&amp;$Q$146&amp;"."&amp;$U$146</f>
        <v>...</v>
      </c>
      <c r="AR146" s="1463">
        <v>0</v>
      </c>
    </row>
    <row s="8491" customFormat="1" customHeight="1" ht="17.25">
      <c r="A147" s="434"/>
      <c r="C147" s="433"/>
      <c r="D147" s="2248"/>
      <c r="E147" s="2256"/>
      <c r="F147" s="2259"/>
      <c r="G147" s="2256"/>
      <c r="H147" s="2262"/>
      <c r="I147" s="2264"/>
      <c r="J147" s="2266"/>
      <c r="K147" s="2251"/>
      <c r="L147" s="2251"/>
      <c r="M147" s="2251"/>
      <c r="N147" s="2253"/>
      <c r="O147" s="2251"/>
      <c r="P147" s="2251"/>
      <c r="Q147" s="2251"/>
      <c r="R147" s="2254"/>
      <c r="S147" s="2251"/>
      <c r="T147" s="1410"/>
      <c r="U147" s="1410"/>
      <c r="V147" s="1410"/>
      <c r="W147" s="1411"/>
      <c r="X147" s="1372"/>
      <c r="Y147" s="1372"/>
      <c r="Z147" s="1372"/>
      <c r="AA147" s="1372"/>
      <c r="AB147" s="1372"/>
      <c r="AC147" s="1372"/>
      <c r="AD147" s="1372"/>
      <c r="AE147" s="1372"/>
      <c r="AF147" s="1372"/>
      <c r="AG147" s="1372"/>
      <c r="AH147" s="1372"/>
      <c r="AI147" s="1372"/>
      <c r="AJ147" s="1372"/>
      <c r="AK147" s="1372"/>
      <c r="AL147" s="1372"/>
      <c r="AM147" s="1372"/>
      <c r="AN147" s="1372"/>
      <c r="AO147" s="1372"/>
      <c r="AP147" s="1372"/>
      <c r="AQ147" s="1372"/>
      <c r="AR147" s="1463">
        <v>0</v>
      </c>
    </row>
    <row s="8491" customFormat="1" customHeight="1" ht="17.25">
      <c r="A148" s="434"/>
      <c r="C148" s="433"/>
      <c r="D148" s="2249"/>
      <c r="E148" s="2257"/>
      <c r="F148" s="2259"/>
      <c r="G148" s="2257"/>
      <c r="H148" s="2262"/>
      <c r="I148" s="2264"/>
      <c r="J148" s="2267"/>
      <c r="K148" s="2251"/>
      <c r="L148" s="2251"/>
      <c r="M148" s="2251"/>
      <c r="N148" s="2254"/>
      <c r="O148" s="2251"/>
      <c r="P148" s="1557"/>
      <c r="Q148" s="1410"/>
      <c r="R148" s="1410"/>
      <c r="S148" s="442"/>
      <c r="T148" s="442"/>
      <c r="U148" s="442"/>
      <c r="V148" s="442"/>
      <c r="W148" s="1411"/>
      <c r="X148" s="1372"/>
      <c r="Y148" s="1372"/>
      <c r="Z148" s="1372"/>
      <c r="AA148" s="1372"/>
      <c r="AB148" s="1372"/>
      <c r="AC148" s="1372"/>
      <c r="AD148" s="1372"/>
      <c r="AE148" s="1372"/>
      <c r="AF148" s="1372"/>
      <c r="AG148" s="1372"/>
      <c r="AH148" s="1372"/>
      <c r="AI148" s="1372"/>
      <c r="AJ148" s="1372"/>
      <c r="AK148" s="1372"/>
      <c r="AL148" s="1372"/>
      <c r="AM148" s="1372"/>
      <c r="AN148" s="1372"/>
      <c r="AO148" s="1372"/>
      <c r="AP148" s="1372"/>
      <c r="AQ148" s="1372"/>
      <c r="AR148" s="1463">
        <v>0</v>
      </c>
    </row>
    <row s="8491" customFormat="1" customHeight="1" ht="17.25">
      <c r="A149" s="434"/>
      <c r="C149" s="433"/>
      <c r="D149" s="2249"/>
      <c r="E149" s="2257"/>
      <c r="F149" s="2259"/>
      <c r="G149" s="2257"/>
      <c r="H149" s="2262"/>
      <c r="I149" s="2264"/>
      <c r="J149" s="2267"/>
      <c r="K149" s="2251"/>
      <c r="L149" s="1410"/>
      <c r="M149" s="1410"/>
      <c r="N149" s="1410"/>
      <c r="O149" s="1410"/>
      <c r="P149" s="1410"/>
      <c r="Q149" s="1410"/>
      <c r="R149" s="1410"/>
      <c r="S149" s="442"/>
      <c r="T149" s="442"/>
      <c r="U149" s="442"/>
      <c r="V149" s="442"/>
      <c r="W149" s="1411"/>
      <c r="X149" s="1372"/>
      <c r="Y149" s="1372"/>
      <c r="Z149" s="1372"/>
      <c r="AA149" s="1372"/>
      <c r="AB149" s="1372"/>
      <c r="AC149" s="1372"/>
      <c r="AD149" s="1372"/>
      <c r="AE149" s="1372"/>
      <c r="AF149" s="1372"/>
      <c r="AG149" s="1372"/>
      <c r="AH149" s="1372"/>
      <c r="AI149" s="1372"/>
      <c r="AJ149" s="1372"/>
      <c r="AK149" s="1372"/>
      <c r="AL149" s="1372"/>
      <c r="AM149" s="1372"/>
      <c r="AN149" s="1372"/>
      <c r="AO149" s="1372"/>
      <c r="AP149" s="1372"/>
      <c r="AQ149" s="1372"/>
      <c r="AR149" s="1463">
        <v>0</v>
      </c>
    </row>
    <row s="8491" customFormat="1" customHeight="1" ht="17.25">
      <c r="A150" s="434"/>
      <c r="C150" s="433"/>
      <c r="D150" s="2249"/>
      <c r="E150" s="2257"/>
      <c r="F150" s="2260"/>
      <c r="G150" s="2257"/>
      <c r="H150" s="1412"/>
      <c r="I150" s="1413"/>
      <c r="J150" s="1413"/>
      <c r="K150" s="1413"/>
      <c r="L150" s="1413"/>
      <c r="M150" s="1413"/>
      <c r="N150" s="1413"/>
      <c r="O150" s="1413"/>
      <c r="P150" s="1413"/>
      <c r="Q150" s="1413"/>
      <c r="R150" s="1413"/>
      <c r="S150" s="1414"/>
      <c r="T150" s="1414"/>
      <c r="U150" s="1414"/>
      <c r="V150" s="1414"/>
      <c r="W150" s="1415"/>
      <c r="X150" s="1372"/>
      <c r="Y150" s="1372"/>
      <c r="Z150" s="1372"/>
      <c r="AA150" s="1372"/>
      <c r="AB150" s="1372"/>
      <c r="AC150" s="1372"/>
      <c r="AD150" s="1372"/>
      <c r="AE150" s="1372"/>
      <c r="AF150" s="1372"/>
      <c r="AG150" s="1372"/>
      <c r="AH150" s="1372"/>
      <c r="AI150" s="1372"/>
      <c r="AJ150" s="1372"/>
      <c r="AK150" s="1372"/>
      <c r="AL150" s="1372"/>
      <c r="AM150" s="1372"/>
      <c r="AN150" s="1372"/>
      <c r="AO150" s="1372"/>
      <c r="AP150" s="1372"/>
      <c r="AQ150" s="1372"/>
      <c r="AR150" s="1463">
        <v>0</v>
      </c>
    </row>
    <row s="8491" customFormat="1" customHeight="1" ht="17.25">
      <c r="A151" s="434"/>
      <c r="C151" s="322"/>
      <c r="D151" s="2248">
        <v>5</v>
      </c>
      <c r="E151" s="2256" t="s">
        <v>372</v>
      </c>
      <c r="F151" s="2258" t="s">
        <v>19</v>
      </c>
      <c r="G151" s="2256"/>
      <c r="H151" s="2261"/>
      <c r="I151" s="2263"/>
      <c r="J151" s="2265"/>
      <c r="K151" s="2250"/>
      <c r="L151" s="2250"/>
      <c r="M151" s="2250"/>
      <c r="N151" s="2252"/>
      <c r="O151" s="2250"/>
      <c r="P151" s="2250"/>
      <c r="Q151" s="2250"/>
      <c r="R151" s="2255"/>
      <c r="S151" s="2250"/>
      <c r="T151" s="2056"/>
      <c r="U151" s="2056"/>
      <c r="V151" s="2058"/>
      <c r="W151" s="1409"/>
      <c r="X151" s="1380"/>
      <c r="Y151" s="1380"/>
      <c r="Z151" s="1380"/>
      <c r="AA151" s="1380"/>
      <c r="AB151" s="1380"/>
      <c r="AC151" s="1380" t="s">
        <v>373</v>
      </c>
      <c r="AD151" s="1380" t="s">
        <v>374</v>
      </c>
      <c r="AE151" s="1380" t="s">
        <v>375</v>
      </c>
      <c r="AF151" s="1380" t="s">
        <v>376</v>
      </c>
      <c r="AG151" s="1380"/>
      <c r="AH151" s="1380" t="str">
        <f>IF($E$151=0,"",$E$151)</f>
        <v>Тариф на подключение (технологическое присоединение) к централизованной системе холодного водоснабжения</v>
      </c>
      <c r="AI151" s="1380" t="str">
        <f>IF($G$151=0,"",$G$151)</f>
        <v/>
      </c>
      <c r="AJ151" s="1380" t="str">
        <f>IF($J$151=0,"",$J$151)</f>
        <v/>
      </c>
      <c r="AK151" s="1380" t="str">
        <f>IF($K$151="нет","без дифференциации",IF($N$151=0,"",$N$151))</f>
        <v/>
      </c>
      <c r="AL151" s="1380" t="str">
        <f>IF($O$151="нет","без дифференциации",IF($R$151=0,"",$R$151))</f>
        <v/>
      </c>
      <c r="AM151" s="1380" t="str">
        <f>IF($S$151="нет","без дифференциации",IF($V$151=0,"",$V$151))</f>
        <v/>
      </c>
      <c r="AN151" s="1885">
        <f>$I$151</f>
        <v>0</v>
      </c>
      <c r="AO151" s="1380" t="str">
        <f>$I$151&amp;"."&amp;$M$151</f>
        <v>.</v>
      </c>
      <c r="AP151" s="1379" t="str">
        <f>$I$151&amp;"."&amp;$M$151&amp;"."&amp;$Q$151</f>
        <v>..</v>
      </c>
      <c r="AQ151" s="1379" t="str">
        <f>$I$151&amp;"."&amp;$M$151&amp;"."&amp;$Q$151&amp;"."&amp;$U$151</f>
        <v>...</v>
      </c>
      <c r="AR151" s="1580">
        <v>0</v>
      </c>
    </row>
    <row s="8491" customFormat="1" customHeight="1" ht="17.25">
      <c r="A152" s="434"/>
      <c r="C152" s="433"/>
      <c r="D152" s="2248"/>
      <c r="E152" s="2256"/>
      <c r="F152" s="2259"/>
      <c r="G152" s="2256"/>
      <c r="H152" s="2262"/>
      <c r="I152" s="2264"/>
      <c r="J152" s="2266"/>
      <c r="K152" s="2251"/>
      <c r="L152" s="2251"/>
      <c r="M152" s="2251"/>
      <c r="N152" s="2253"/>
      <c r="O152" s="2251"/>
      <c r="P152" s="2251"/>
      <c r="Q152" s="2251"/>
      <c r="R152" s="2254"/>
      <c r="S152" s="2251"/>
      <c r="T152" s="2061"/>
      <c r="U152" s="2061"/>
      <c r="V152" s="2061"/>
      <c r="W152" s="2062"/>
      <c r="X152" s="1379"/>
      <c r="Y152" s="1379"/>
      <c r="Z152" s="1379"/>
      <c r="AA152" s="1379"/>
      <c r="AB152" s="1379"/>
      <c r="AC152" s="1379"/>
      <c r="AD152" s="1379"/>
      <c r="AE152" s="1379"/>
      <c r="AF152" s="1379"/>
      <c r="AG152" s="1379"/>
      <c r="AH152" s="1379"/>
      <c r="AI152" s="1379"/>
      <c r="AJ152" s="1379"/>
      <c r="AK152" s="1379"/>
      <c r="AL152" s="1379"/>
      <c r="AM152" s="1379"/>
      <c r="AN152" s="1379"/>
      <c r="AO152" s="1379"/>
      <c r="AP152" s="1379"/>
      <c r="AQ152" s="1379"/>
      <c r="AR152" s="1580">
        <v>0</v>
      </c>
    </row>
    <row s="8491" customFormat="1" customHeight="1" ht="17.25">
      <c r="A153" s="434"/>
      <c r="C153" s="433"/>
      <c r="D153" s="2249"/>
      <c r="E153" s="2257"/>
      <c r="F153" s="2259"/>
      <c r="G153" s="2257"/>
      <c r="H153" s="2262"/>
      <c r="I153" s="2264"/>
      <c r="J153" s="2267"/>
      <c r="K153" s="2251"/>
      <c r="L153" s="2251"/>
      <c r="M153" s="2251"/>
      <c r="N153" s="2254"/>
      <c r="O153" s="2251"/>
      <c r="P153" s="2057"/>
      <c r="Q153" s="2061"/>
      <c r="R153" s="2061"/>
      <c r="S153" s="442"/>
      <c r="T153" s="442"/>
      <c r="U153" s="442"/>
      <c r="V153" s="442"/>
      <c r="W153" s="2062"/>
      <c r="X153" s="1379"/>
      <c r="Y153" s="1379"/>
      <c r="Z153" s="1379"/>
      <c r="AA153" s="1379"/>
      <c r="AB153" s="1379"/>
      <c r="AC153" s="1379"/>
      <c r="AD153" s="1379"/>
      <c r="AE153" s="1379"/>
      <c r="AF153" s="1379"/>
      <c r="AG153" s="1379"/>
      <c r="AH153" s="1379"/>
      <c r="AI153" s="1379"/>
      <c r="AJ153" s="1379"/>
      <c r="AK153" s="1379"/>
      <c r="AL153" s="1379"/>
      <c r="AM153" s="1379"/>
      <c r="AN153" s="1379"/>
      <c r="AO153" s="1379"/>
      <c r="AP153" s="1379"/>
      <c r="AQ153" s="1379"/>
      <c r="AR153" s="1580">
        <v>0</v>
      </c>
    </row>
    <row s="8491" customFormat="1" customHeight="1" ht="17.25">
      <c r="A154" s="434"/>
      <c r="C154" s="433"/>
      <c r="D154" s="2249"/>
      <c r="E154" s="2257"/>
      <c r="F154" s="2259"/>
      <c r="G154" s="2257"/>
      <c r="H154" s="2262"/>
      <c r="I154" s="2264"/>
      <c r="J154" s="2267"/>
      <c r="K154" s="2251"/>
      <c r="L154" s="2061"/>
      <c r="M154" s="2061"/>
      <c r="N154" s="2061"/>
      <c r="O154" s="2061"/>
      <c r="P154" s="2061"/>
      <c r="Q154" s="2061"/>
      <c r="R154" s="2061"/>
      <c r="S154" s="442"/>
      <c r="T154" s="442"/>
      <c r="U154" s="442"/>
      <c r="V154" s="442"/>
      <c r="W154" s="2062"/>
      <c r="X154" s="1379"/>
      <c r="Y154" s="1379"/>
      <c r="Z154" s="1379"/>
      <c r="AA154" s="1379"/>
      <c r="AB154" s="1379"/>
      <c r="AC154" s="1379"/>
      <c r="AD154" s="1379"/>
      <c r="AE154" s="1379"/>
      <c r="AF154" s="1379"/>
      <c r="AG154" s="1379"/>
      <c r="AH154" s="1379"/>
      <c r="AI154" s="1379"/>
      <c r="AJ154" s="1379"/>
      <c r="AK154" s="1379"/>
      <c r="AL154" s="1379"/>
      <c r="AM154" s="1379"/>
      <c r="AN154" s="1379"/>
      <c r="AO154" s="1379"/>
      <c r="AP154" s="1379"/>
      <c r="AQ154" s="1379"/>
      <c r="AR154" s="1580">
        <v>0</v>
      </c>
    </row>
    <row s="8491" customFormat="1" customHeight="1" ht="17.25">
      <c r="A155" s="434"/>
      <c r="C155" s="433"/>
      <c r="D155" s="2249"/>
      <c r="E155" s="2257"/>
      <c r="F155" s="2260"/>
      <c r="G155" s="2257"/>
      <c r="H155" s="1412"/>
      <c r="I155" s="2059"/>
      <c r="J155" s="2059"/>
      <c r="K155" s="2059"/>
      <c r="L155" s="2059"/>
      <c r="M155" s="2059"/>
      <c r="N155" s="2059"/>
      <c r="O155" s="2059"/>
      <c r="P155" s="2059"/>
      <c r="Q155" s="2059"/>
      <c r="R155" s="2059"/>
      <c r="S155" s="1414"/>
      <c r="T155" s="1414"/>
      <c r="U155" s="1414"/>
      <c r="V155" s="1414"/>
      <c r="W155" s="2060"/>
      <c r="X155" s="1379"/>
      <c r="Y155" s="1379"/>
      <c r="Z155" s="1379"/>
      <c r="AA155" s="1379"/>
      <c r="AB155" s="1379"/>
      <c r="AC155" s="1379"/>
      <c r="AD155" s="1379"/>
      <c r="AE155" s="1379"/>
      <c r="AF155" s="1379"/>
      <c r="AG155" s="1379"/>
      <c r="AH155" s="1379"/>
      <c r="AI155" s="1379"/>
      <c r="AJ155" s="1379"/>
      <c r="AK155" s="1379"/>
      <c r="AL155" s="1379"/>
      <c r="AM155" s="1379"/>
      <c r="AN155" s="1379"/>
      <c r="AO155" s="1379"/>
      <c r="AP155" s="1379"/>
      <c r="AQ155" s="1379"/>
      <c r="AR155" s="1580">
        <v>0</v>
      </c>
    </row>
    <row s="8491" customFormat="1" customHeight="1" ht="11.25" hidden="1">
      <c r="A156" s="390"/>
      <c r="B156" s="390"/>
      <c r="Y156" s="1372"/>
      <c r="Z156" s="1372"/>
      <c r="AA156" s="1372"/>
      <c r="AB156" s="1372"/>
      <c r="AC156" s="1372"/>
      <c r="AD156" s="1372"/>
      <c r="AE156" s="1372"/>
      <c r="AF156" s="1372"/>
      <c r="AG156" s="1372"/>
      <c r="AH156" s="1372"/>
      <c r="AI156" s="1372"/>
      <c r="AJ156" s="1372"/>
      <c r="AK156" s="1372"/>
      <c r="AL156" s="1372"/>
      <c r="AM156" s="1372"/>
      <c r="AN156" s="1372"/>
      <c r="AO156" s="1372"/>
      <c r="AP156" s="1372"/>
      <c r="AQ156" s="1372"/>
      <c r="AR156" s="1580">
        <v>0</v>
      </c>
    </row>
    <row s="8491" customFormat="1" customHeight="1" ht="17.25" hidden="1">
      <c r="A157" s="434"/>
      <c r="C157" s="322"/>
      <c r="D157" s="2248">
        <v>1</v>
      </c>
      <c r="E157" s="2256" t="s">
        <v>377</v>
      </c>
      <c r="F157" s="2258" t="s">
        <v>19</v>
      </c>
      <c r="G157" s="2256"/>
      <c r="H157" s="2261"/>
      <c r="I157" s="2263"/>
      <c r="J157" s="2265"/>
      <c r="K157" s="2250"/>
      <c r="L157" s="2250"/>
      <c r="M157" s="2250"/>
      <c r="N157" s="2252"/>
      <c r="O157" s="2250"/>
      <c r="P157" s="2250"/>
      <c r="Q157" s="2250"/>
      <c r="R157" s="2255"/>
      <c r="S157" s="2250"/>
      <c r="T157" s="1583"/>
      <c r="U157" s="1583"/>
      <c r="V157" s="1585"/>
      <c r="W157" s="1409"/>
      <c r="Y157" s="1380"/>
      <c r="Z157" s="1380"/>
      <c r="AA157" s="1380"/>
      <c r="AB157" s="1380"/>
      <c r="AC157" s="1380" t="s">
        <v>378</v>
      </c>
      <c r="AD157" s="1380" t="s">
        <v>379</v>
      </c>
      <c r="AE157" s="1380" t="s">
        <v>380</v>
      </c>
      <c r="AF157" s="1380" t="s">
        <v>381</v>
      </c>
      <c r="AG157" s="1380"/>
      <c r="AH157" s="1380" t="str">
        <f>IF($E$157=0,"",$E$157)</f>
        <v>Тариф на горячую воду (горячее водоснабжение)</v>
      </c>
      <c r="AI157" s="1380" t="str">
        <f>IF($G$157=0,"",$G$157)</f>
        <v/>
      </c>
      <c r="AJ157" s="1380" t="str">
        <f>IF($J$157=0,"",$J$157)</f>
        <v/>
      </c>
      <c r="AK157" s="1380" t="str">
        <f>IF($K$157="нет","без дифференциации",IF($N$157=0,"",$N$157))</f>
        <v/>
      </c>
      <c r="AL157" s="1380" t="str">
        <f>IF($O$157="нет","без дифференциации",IF($R$157=0,"",$R$157))</f>
        <v/>
      </c>
      <c r="AM157" s="1380" t="str">
        <f>IF($S$157="нет","без дифференциации",IF($V$157=0,"",$V$157))</f>
        <v/>
      </c>
      <c r="AN157" s="1380">
        <f>$I$157</f>
        <v>0</v>
      </c>
      <c r="AO157" s="1380" t="str">
        <f>$I$157&amp;"."&amp;$M$157</f>
        <v>.</v>
      </c>
      <c r="AP157" s="1380" t="str">
        <f>$I$157&amp;"."&amp;$M$157&amp;"."&amp;$Q$157</f>
        <v>..</v>
      </c>
      <c r="AQ157" s="1380" t="str">
        <f>$I$157&amp;"."&amp;$M$157&amp;"."&amp;$Q$157&amp;"."&amp;$U$157</f>
        <v>...</v>
      </c>
      <c r="AR157" s="1580">
        <v>0</v>
      </c>
    </row>
    <row s="8491" customFormat="1" customHeight="1" ht="17.25" hidden="1">
      <c r="A158" s="434"/>
      <c r="C158" s="433"/>
      <c r="D158" s="2248"/>
      <c r="E158" s="2256"/>
      <c r="F158" s="2259"/>
      <c r="G158" s="2256"/>
      <c r="H158" s="2262"/>
      <c r="I158" s="2264"/>
      <c r="J158" s="2266"/>
      <c r="K158" s="2251"/>
      <c r="L158" s="2251"/>
      <c r="M158" s="2251"/>
      <c r="N158" s="2253"/>
      <c r="O158" s="2251"/>
      <c r="P158" s="2251"/>
      <c r="Q158" s="2251"/>
      <c r="R158" s="2254"/>
      <c r="S158" s="2251"/>
      <c r="T158" s="1410"/>
      <c r="U158" s="1410"/>
      <c r="V158" s="1410"/>
      <c r="W158" s="1411"/>
      <c r="Y158" s="1372"/>
      <c r="Z158" s="1372"/>
      <c r="AA158" s="1372"/>
      <c r="AB158" s="1372"/>
      <c r="AC158" s="1372"/>
      <c r="AD158" s="1372"/>
      <c r="AE158" s="1372"/>
      <c r="AF158" s="1372"/>
      <c r="AG158" s="1372"/>
      <c r="AH158" s="1372"/>
      <c r="AI158" s="1372"/>
      <c r="AJ158" s="1372"/>
      <c r="AK158" s="1372"/>
      <c r="AL158" s="1372"/>
      <c r="AM158" s="1372"/>
      <c r="AN158" s="1372"/>
      <c r="AO158" s="1372"/>
      <c r="AP158" s="1372"/>
      <c r="AQ158" s="1372"/>
      <c r="AR158" s="1580">
        <v>0</v>
      </c>
    </row>
    <row s="8491" customFormat="1" customHeight="1" ht="17.25" hidden="1">
      <c r="A159" s="434"/>
      <c r="C159" s="322"/>
      <c r="D159" s="2248"/>
      <c r="E159" s="2256"/>
      <c r="F159" s="2259"/>
      <c r="G159" s="2256"/>
      <c r="H159" s="2262"/>
      <c r="I159" s="2264"/>
      <c r="J159" s="2267"/>
      <c r="K159" s="2251"/>
      <c r="L159" s="2251"/>
      <c r="M159" s="2251"/>
      <c r="N159" s="2254"/>
      <c r="O159" s="2251"/>
      <c r="P159" s="1584"/>
      <c r="Q159" s="1410"/>
      <c r="R159" s="1410"/>
      <c r="S159" s="442"/>
      <c r="T159" s="442"/>
      <c r="U159" s="442"/>
      <c r="V159" s="442"/>
      <c r="W159" s="1411"/>
      <c r="Y159" s="1380"/>
      <c r="Z159" s="1380"/>
      <c r="AA159" s="1380"/>
      <c r="AB159" s="1380"/>
      <c r="AC159" s="1380"/>
      <c r="AD159" s="1380"/>
      <c r="AE159" s="1380"/>
      <c r="AF159" s="1380"/>
      <c r="AG159" s="1380"/>
      <c r="AH159" s="1380"/>
      <c r="AI159" s="1380"/>
      <c r="AJ159" s="1380"/>
      <c r="AK159" s="1380"/>
      <c r="AL159" s="1380"/>
      <c r="AM159" s="1380"/>
      <c r="AN159" s="1380"/>
      <c r="AO159" s="1380"/>
      <c r="AP159" s="1380"/>
      <c r="AQ159" s="1380"/>
      <c r="AR159" s="1580">
        <v>0</v>
      </c>
    </row>
    <row s="8491" customFormat="1" customHeight="1" ht="17.25" hidden="1">
      <c r="A160" s="434"/>
      <c r="C160" s="433"/>
      <c r="D160" s="2248"/>
      <c r="E160" s="2256"/>
      <c r="F160" s="2259"/>
      <c r="G160" s="2256"/>
      <c r="H160" s="2262"/>
      <c r="I160" s="2264"/>
      <c r="J160" s="2267"/>
      <c r="K160" s="2251"/>
      <c r="L160" s="1410"/>
      <c r="M160" s="1410"/>
      <c r="N160" s="1410"/>
      <c r="O160" s="1410"/>
      <c r="P160" s="1410"/>
      <c r="Q160" s="1410"/>
      <c r="R160" s="1410"/>
      <c r="S160" s="442"/>
      <c r="T160" s="442"/>
      <c r="U160" s="442"/>
      <c r="V160" s="442"/>
      <c r="W160" s="1411"/>
      <c r="Y160" s="1372"/>
      <c r="Z160" s="1372"/>
      <c r="AA160" s="1372"/>
      <c r="AB160" s="1372"/>
      <c r="AC160" s="1372"/>
      <c r="AD160" s="1372"/>
      <c r="AE160" s="1372"/>
      <c r="AF160" s="1372"/>
      <c r="AG160" s="1372"/>
      <c r="AH160" s="1372"/>
      <c r="AI160" s="1372"/>
      <c r="AJ160" s="1372"/>
      <c r="AK160" s="1372"/>
      <c r="AL160" s="1372"/>
      <c r="AM160" s="1372"/>
      <c r="AN160" s="1372"/>
      <c r="AO160" s="1372"/>
      <c r="AP160" s="1372"/>
      <c r="AQ160" s="1372"/>
      <c r="AR160" s="1580">
        <v>0</v>
      </c>
    </row>
    <row s="8491" customFormat="1" customHeight="1" ht="17.25" hidden="1">
      <c r="A161" s="434"/>
      <c r="C161" s="433"/>
      <c r="D161" s="2249"/>
      <c r="E161" s="2257"/>
      <c r="F161" s="2260"/>
      <c r="G161" s="2257"/>
      <c r="H161" s="1412"/>
      <c r="I161" s="1413"/>
      <c r="J161" s="1413"/>
      <c r="K161" s="1413"/>
      <c r="L161" s="1413"/>
      <c r="M161" s="1413"/>
      <c r="N161" s="1413"/>
      <c r="O161" s="1413"/>
      <c r="P161" s="1413"/>
      <c r="Q161" s="1413"/>
      <c r="R161" s="1413"/>
      <c r="S161" s="1414"/>
      <c r="T161" s="1414"/>
      <c r="U161" s="1414"/>
      <c r="V161" s="1414"/>
      <c r="W161" s="1415"/>
      <c r="Y161" s="1372"/>
      <c r="Z161" s="1372"/>
      <c r="AA161" s="1372"/>
      <c r="AB161" s="1372"/>
      <c r="AC161" s="1372"/>
      <c r="AD161" s="1372"/>
      <c r="AE161" s="1372"/>
      <c r="AF161" s="1372"/>
      <c r="AG161" s="1372"/>
      <c r="AH161" s="1372"/>
      <c r="AI161" s="1372"/>
      <c r="AJ161" s="1372"/>
      <c r="AK161" s="1372"/>
      <c r="AL161" s="1372"/>
      <c r="AM161" s="1372"/>
      <c r="AN161" s="1372"/>
      <c r="AO161" s="1372"/>
      <c r="AP161" s="1372"/>
      <c r="AQ161" s="1372"/>
      <c r="AR161" s="1580">
        <v>0</v>
      </c>
    </row>
    <row s="8491" customFormat="1" customHeight="1" ht="17.25" hidden="1">
      <c r="A162" s="434"/>
      <c r="C162" s="322"/>
      <c r="D162" s="2248">
        <v>2</v>
      </c>
      <c r="E162" s="2256" t="s">
        <v>382</v>
      </c>
      <c r="F162" s="2258" t="s">
        <v>19</v>
      </c>
      <c r="G162" s="2256"/>
      <c r="H162" s="2261"/>
      <c r="I162" s="2263"/>
      <c r="J162" s="2265"/>
      <c r="K162" s="2250"/>
      <c r="L162" s="2250"/>
      <c r="M162" s="2250"/>
      <c r="N162" s="2252"/>
      <c r="O162" s="2250"/>
      <c r="P162" s="2250"/>
      <c r="Q162" s="2250"/>
      <c r="R162" s="2255"/>
      <c r="S162" s="2250"/>
      <c r="T162" s="1583"/>
      <c r="U162" s="1583"/>
      <c r="V162" s="1585"/>
      <c r="W162" s="1409"/>
      <c r="X162" s="1380"/>
      <c r="Y162" s="1380"/>
      <c r="Z162" s="1380"/>
      <c r="AA162" s="1380"/>
      <c r="AB162" s="1380"/>
      <c r="AC162" s="1380" t="s">
        <v>383</v>
      </c>
      <c r="AD162" s="1380" t="s">
        <v>384</v>
      </c>
      <c r="AE162" s="1380" t="s">
        <v>385</v>
      </c>
      <c r="AF162" s="1380" t="s">
        <v>386</v>
      </c>
      <c r="AG162" s="1380"/>
      <c r="AH162" s="1380" t="str">
        <f>IF($E$162=0,"",$E$162)</f>
        <v>Тариф на транспортировку горячей воды</v>
      </c>
      <c r="AI162" s="1380" t="str">
        <f>IF($G$162=0,"",$G$162)</f>
        <v/>
      </c>
      <c r="AJ162" s="1380" t="str">
        <f>IF($J$162=0,"",$J$162)</f>
        <v/>
      </c>
      <c r="AK162" s="1380" t="str">
        <f>IF($K$162="нет","без дифференциации",IF($N$162=0,"",$N$162))</f>
        <v/>
      </c>
      <c r="AL162" s="1380" t="str">
        <f>IF($O$162="нет","без дифференциации",IF($R$162=0,"",$R$162))</f>
        <v/>
      </c>
      <c r="AM162" s="1380" t="str">
        <f>IF($S$162="нет","без дифференциации",IF($V$162=0,"",$V$162))</f>
        <v/>
      </c>
      <c r="AN162" s="1885">
        <f>$I$162</f>
        <v>0</v>
      </c>
      <c r="AO162" s="1380" t="str">
        <f>$I$162&amp;"."&amp;$M$162</f>
        <v>.</v>
      </c>
      <c r="AP162" s="1372" t="str">
        <f>$I$162&amp;"."&amp;$M$162&amp;"."&amp;$Q$162</f>
        <v>..</v>
      </c>
      <c r="AQ162" s="1372" t="str">
        <f>$I$162&amp;"."&amp;$M$162&amp;"."&amp;$Q$162&amp;"."&amp;$U$162</f>
        <v>...</v>
      </c>
      <c r="AR162" s="1580">
        <v>0</v>
      </c>
    </row>
    <row s="8491" customFormat="1" customHeight="1" ht="17.25" hidden="1">
      <c r="A163" s="434"/>
      <c r="C163" s="433"/>
      <c r="D163" s="2248"/>
      <c r="E163" s="2256"/>
      <c r="F163" s="2259"/>
      <c r="G163" s="2256"/>
      <c r="H163" s="2262"/>
      <c r="I163" s="2264"/>
      <c r="J163" s="2266"/>
      <c r="K163" s="2251"/>
      <c r="L163" s="2251"/>
      <c r="M163" s="2251"/>
      <c r="N163" s="2253"/>
      <c r="O163" s="2251"/>
      <c r="P163" s="2251"/>
      <c r="Q163" s="2251"/>
      <c r="R163" s="2254"/>
      <c r="S163" s="2251"/>
      <c r="T163" s="1410"/>
      <c r="U163" s="1410"/>
      <c r="V163" s="1410"/>
      <c r="W163" s="1411"/>
      <c r="X163" s="1372"/>
      <c r="Y163" s="1372"/>
      <c r="Z163" s="1372"/>
      <c r="AA163" s="1372"/>
      <c r="AB163" s="1372"/>
      <c r="AC163" s="1372"/>
      <c r="AD163" s="1372"/>
      <c r="AE163" s="1372"/>
      <c r="AF163" s="1372"/>
      <c r="AG163" s="1372"/>
      <c r="AH163" s="1372"/>
      <c r="AI163" s="1372"/>
      <c r="AJ163" s="1372"/>
      <c r="AK163" s="1372"/>
      <c r="AL163" s="1372"/>
      <c r="AM163" s="1372"/>
      <c r="AN163" s="1372"/>
      <c r="AO163" s="1372"/>
      <c r="AP163" s="1372"/>
      <c r="AQ163" s="1372"/>
      <c r="AR163" s="1580">
        <v>0</v>
      </c>
    </row>
    <row s="8491" customFormat="1" customHeight="1" ht="17.25" hidden="1">
      <c r="A164" s="434"/>
      <c r="C164" s="433"/>
      <c r="D164" s="2249"/>
      <c r="E164" s="2257"/>
      <c r="F164" s="2259"/>
      <c r="G164" s="2257"/>
      <c r="H164" s="2262"/>
      <c r="I164" s="2264"/>
      <c r="J164" s="2267"/>
      <c r="K164" s="2251"/>
      <c r="L164" s="2251"/>
      <c r="M164" s="2251"/>
      <c r="N164" s="2254"/>
      <c r="O164" s="2251"/>
      <c r="P164" s="1584"/>
      <c r="Q164" s="1410"/>
      <c r="R164" s="1410"/>
      <c r="S164" s="442"/>
      <c r="T164" s="442"/>
      <c r="U164" s="442"/>
      <c r="V164" s="442"/>
      <c r="W164" s="1411"/>
      <c r="X164" s="1372"/>
      <c r="Y164" s="1372"/>
      <c r="Z164" s="1372"/>
      <c r="AA164" s="1372"/>
      <c r="AB164" s="1372"/>
      <c r="AC164" s="1372"/>
      <c r="AD164" s="1372"/>
      <c r="AE164" s="1372"/>
      <c r="AF164" s="1372"/>
      <c r="AG164" s="1372"/>
      <c r="AH164" s="1372"/>
      <c r="AI164" s="1372"/>
      <c r="AJ164" s="1372"/>
      <c r="AK164" s="1372"/>
      <c r="AL164" s="1372"/>
      <c r="AM164" s="1372"/>
      <c r="AN164" s="1372"/>
      <c r="AO164" s="1372"/>
      <c r="AP164" s="1372"/>
      <c r="AQ164" s="1372"/>
      <c r="AR164" s="1580">
        <v>0</v>
      </c>
    </row>
    <row s="8491" customFormat="1" customHeight="1" ht="17.25" hidden="1">
      <c r="A165" s="434"/>
      <c r="C165" s="433"/>
      <c r="D165" s="2249"/>
      <c r="E165" s="2257"/>
      <c r="F165" s="2259"/>
      <c r="G165" s="2257"/>
      <c r="H165" s="2262"/>
      <c r="I165" s="2264"/>
      <c r="J165" s="2267"/>
      <c r="K165" s="2251"/>
      <c r="L165" s="1410"/>
      <c r="M165" s="1410"/>
      <c r="N165" s="1410"/>
      <c r="O165" s="1410"/>
      <c r="P165" s="1410"/>
      <c r="Q165" s="1410"/>
      <c r="R165" s="1410"/>
      <c r="S165" s="442"/>
      <c r="T165" s="442"/>
      <c r="U165" s="442"/>
      <c r="V165" s="442"/>
      <c r="W165" s="1411"/>
      <c r="X165" s="1372"/>
      <c r="Y165" s="1372"/>
      <c r="Z165" s="1372"/>
      <c r="AA165" s="1372"/>
      <c r="AB165" s="1372"/>
      <c r="AC165" s="1372"/>
      <c r="AD165" s="1372"/>
      <c r="AE165" s="1372"/>
      <c r="AF165" s="1372"/>
      <c r="AG165" s="1372"/>
      <c r="AH165" s="1372"/>
      <c r="AI165" s="1372"/>
      <c r="AJ165" s="1372"/>
      <c r="AK165" s="1372"/>
      <c r="AL165" s="1372"/>
      <c r="AM165" s="1372"/>
      <c r="AN165" s="1372"/>
      <c r="AO165" s="1372"/>
      <c r="AP165" s="1372"/>
      <c r="AQ165" s="1372"/>
      <c r="AR165" s="1580">
        <v>0</v>
      </c>
    </row>
    <row s="8491" customFormat="1" customHeight="1" ht="17.25" hidden="1">
      <c r="A166" s="434"/>
      <c r="C166" s="433"/>
      <c r="D166" s="2249"/>
      <c r="E166" s="2257"/>
      <c r="F166" s="2260"/>
      <c r="G166" s="2257"/>
      <c r="H166" s="1412"/>
      <c r="I166" s="1413"/>
      <c r="J166" s="1413"/>
      <c r="K166" s="1413"/>
      <c r="L166" s="1413"/>
      <c r="M166" s="1413"/>
      <c r="N166" s="1413"/>
      <c r="O166" s="1413"/>
      <c r="P166" s="1413"/>
      <c r="Q166" s="1413"/>
      <c r="R166" s="1413"/>
      <c r="S166" s="1414"/>
      <c r="T166" s="1414"/>
      <c r="U166" s="1414"/>
      <c r="V166" s="1414"/>
      <c r="W166" s="1415"/>
      <c r="X166" s="1372"/>
      <c r="Y166" s="1372"/>
      <c r="Z166" s="1372"/>
      <c r="AA166" s="1372"/>
      <c r="AB166" s="1372"/>
      <c r="AC166" s="1372"/>
      <c r="AD166" s="1372"/>
      <c r="AE166" s="1372"/>
      <c r="AF166" s="1372"/>
      <c r="AG166" s="1372"/>
      <c r="AH166" s="1372"/>
      <c r="AI166" s="1372"/>
      <c r="AJ166" s="1372"/>
      <c r="AK166" s="1372"/>
      <c r="AL166" s="1372"/>
      <c r="AM166" s="1372"/>
      <c r="AN166" s="1372"/>
      <c r="AO166" s="1372"/>
      <c r="AP166" s="1372"/>
      <c r="AQ166" s="1372"/>
      <c r="AR166" s="1580">
        <v>0</v>
      </c>
    </row>
    <row s="8491" customFormat="1" customHeight="1" ht="17.25" hidden="1">
      <c r="A167" s="434"/>
      <c r="C167" s="322"/>
      <c r="D167" s="2248">
        <v>3</v>
      </c>
      <c r="E167" s="2256" t="s">
        <v>387</v>
      </c>
      <c r="F167" s="2258" t="s">
        <v>19</v>
      </c>
      <c r="G167" s="2256"/>
      <c r="H167" s="2261"/>
      <c r="I167" s="2263"/>
      <c r="J167" s="2265"/>
      <c r="K167" s="2250"/>
      <c r="L167" s="2250"/>
      <c r="M167" s="2250"/>
      <c r="N167" s="2252"/>
      <c r="O167" s="2250"/>
      <c r="P167" s="2250"/>
      <c r="Q167" s="2250"/>
      <c r="R167" s="2255"/>
      <c r="S167" s="2250"/>
      <c r="T167" s="2056"/>
      <c r="U167" s="2056"/>
      <c r="V167" s="2058"/>
      <c r="W167" s="1409"/>
      <c r="X167" s="1380"/>
      <c r="Y167" s="1380"/>
      <c r="Z167" s="1380"/>
      <c r="AA167" s="1380"/>
      <c r="AB167" s="1380"/>
      <c r="AC167" s="1380" t="s">
        <v>388</v>
      </c>
      <c r="AD167" s="1380" t="s">
        <v>389</v>
      </c>
      <c r="AE167" s="1380" t="s">
        <v>390</v>
      </c>
      <c r="AF167" s="1380" t="s">
        <v>391</v>
      </c>
      <c r="AG167" s="1380"/>
      <c r="AH167" s="1380" t="str">
        <f>IF($E$167=0,"",$E$167)</f>
        <v>Тариф на подключение (технологическое присоединение) к централизованной системе горячего водоснабжения</v>
      </c>
      <c r="AI167" s="1380" t="str">
        <f>IF($G$167=0,"",$G$167)</f>
        <v/>
      </c>
      <c r="AJ167" s="1380" t="str">
        <f>IF($J$167=0,"",$J$167)</f>
        <v/>
      </c>
      <c r="AK167" s="1380" t="str">
        <f>IF($K$167="нет","без дифференциации",IF($N$167=0,"",$N$167))</f>
        <v/>
      </c>
      <c r="AL167" s="1380" t="str">
        <f>IF($O$167="нет","без дифференциации",IF($R$167=0,"",$R$167))</f>
        <v/>
      </c>
      <c r="AM167" s="1380" t="str">
        <f>IF($S$167="нет","без дифференциации",IF($V$167=0,"",$V$167))</f>
        <v/>
      </c>
      <c r="AN167" s="1885">
        <f>$I$167</f>
        <v>0</v>
      </c>
      <c r="AO167" s="1380" t="str">
        <f>$I$167&amp;"."&amp;$M$167</f>
        <v>.</v>
      </c>
      <c r="AP167" s="1379" t="str">
        <f>$I$167&amp;"."&amp;$M$167&amp;"."&amp;$Q$167</f>
        <v>..</v>
      </c>
      <c r="AQ167" s="1379" t="str">
        <f>$I$167&amp;"."&amp;$M$167&amp;"."&amp;$Q$167&amp;"."&amp;$U$167</f>
        <v>...</v>
      </c>
      <c r="AR167" s="1580">
        <v>0</v>
      </c>
    </row>
    <row s="8491" customFormat="1" customHeight="1" ht="17.25" hidden="1">
      <c r="A168" s="434"/>
      <c r="C168" s="433"/>
      <c r="D168" s="2248"/>
      <c r="E168" s="2256"/>
      <c r="F168" s="2259"/>
      <c r="G168" s="2256"/>
      <c r="H168" s="2262"/>
      <c r="I168" s="2264"/>
      <c r="J168" s="2266"/>
      <c r="K168" s="2251"/>
      <c r="L168" s="2251"/>
      <c r="M168" s="2251"/>
      <c r="N168" s="2253"/>
      <c r="O168" s="2251"/>
      <c r="P168" s="2251"/>
      <c r="Q168" s="2251"/>
      <c r="R168" s="2254"/>
      <c r="S168" s="2251"/>
      <c r="T168" s="2061"/>
      <c r="U168" s="2061"/>
      <c r="V168" s="2061"/>
      <c r="W168" s="2062"/>
      <c r="X168" s="1379"/>
      <c r="Y168" s="1379"/>
      <c r="Z168" s="1379"/>
      <c r="AA168" s="1379"/>
      <c r="AB168" s="1379"/>
      <c r="AC168" s="1379"/>
      <c r="AD168" s="1379"/>
      <c r="AE168" s="1379"/>
      <c r="AF168" s="1379"/>
      <c r="AG168" s="1379"/>
      <c r="AH168" s="1379"/>
      <c r="AI168" s="1379"/>
      <c r="AJ168" s="1379"/>
      <c r="AK168" s="1379"/>
      <c r="AL168" s="1379"/>
      <c r="AM168" s="1379"/>
      <c r="AN168" s="1379"/>
      <c r="AO168" s="1379"/>
      <c r="AP168" s="1379"/>
      <c r="AQ168" s="1379"/>
      <c r="AR168" s="1580">
        <v>0</v>
      </c>
    </row>
    <row s="8491" customFormat="1" customHeight="1" ht="17.25" hidden="1">
      <c r="A169" s="434"/>
      <c r="C169" s="433"/>
      <c r="D169" s="2249"/>
      <c r="E169" s="2257"/>
      <c r="F169" s="2259"/>
      <c r="G169" s="2257"/>
      <c r="H169" s="2262"/>
      <c r="I169" s="2264"/>
      <c r="J169" s="2267"/>
      <c r="K169" s="2251"/>
      <c r="L169" s="2251"/>
      <c r="M169" s="2251"/>
      <c r="N169" s="2254"/>
      <c r="O169" s="2251"/>
      <c r="P169" s="2057"/>
      <c r="Q169" s="2061"/>
      <c r="R169" s="2061"/>
      <c r="S169" s="442"/>
      <c r="T169" s="442"/>
      <c r="U169" s="442"/>
      <c r="V169" s="442"/>
      <c r="W169" s="2062"/>
      <c r="X169" s="1379"/>
      <c r="Y169" s="1379"/>
      <c r="Z169" s="1379"/>
      <c r="AA169" s="1379"/>
      <c r="AB169" s="1379"/>
      <c r="AC169" s="1379"/>
      <c r="AD169" s="1379"/>
      <c r="AE169" s="1379"/>
      <c r="AF169" s="1379"/>
      <c r="AG169" s="1379"/>
      <c r="AH169" s="1379"/>
      <c r="AI169" s="1379"/>
      <c r="AJ169" s="1379"/>
      <c r="AK169" s="1379"/>
      <c r="AL169" s="1379"/>
      <c r="AM169" s="1379"/>
      <c r="AN169" s="1379"/>
      <c r="AO169" s="1379"/>
      <c r="AP169" s="1379"/>
      <c r="AQ169" s="1379"/>
      <c r="AR169" s="1580">
        <v>0</v>
      </c>
    </row>
    <row s="8491" customFormat="1" customHeight="1" ht="17.25" hidden="1">
      <c r="A170" s="434"/>
      <c r="C170" s="433"/>
      <c r="D170" s="2249"/>
      <c r="E170" s="2257"/>
      <c r="F170" s="2259"/>
      <c r="G170" s="2257"/>
      <c r="H170" s="2262"/>
      <c r="I170" s="2264"/>
      <c r="J170" s="2267"/>
      <c r="K170" s="2251"/>
      <c r="L170" s="2061"/>
      <c r="M170" s="2061"/>
      <c r="N170" s="2061"/>
      <c r="O170" s="2061"/>
      <c r="P170" s="2061"/>
      <c r="Q170" s="2061"/>
      <c r="R170" s="2061"/>
      <c r="S170" s="442"/>
      <c r="T170" s="442"/>
      <c r="U170" s="442"/>
      <c r="V170" s="442"/>
      <c r="W170" s="2062"/>
      <c r="X170" s="1379"/>
      <c r="Y170" s="1379"/>
      <c r="Z170" s="1379"/>
      <c r="AA170" s="1379"/>
      <c r="AB170" s="1379"/>
      <c r="AC170" s="1379"/>
      <c r="AD170" s="1379"/>
      <c r="AE170" s="1379"/>
      <c r="AF170" s="1379"/>
      <c r="AG170" s="1379"/>
      <c r="AH170" s="1379"/>
      <c r="AI170" s="1379"/>
      <c r="AJ170" s="1379"/>
      <c r="AK170" s="1379"/>
      <c r="AL170" s="1379"/>
      <c r="AM170" s="1379"/>
      <c r="AN170" s="1379"/>
      <c r="AO170" s="1379"/>
      <c r="AP170" s="1379"/>
      <c r="AQ170" s="1379"/>
      <c r="AR170" s="1580">
        <v>0</v>
      </c>
    </row>
    <row s="8491" customFormat="1" customHeight="1" ht="17.25" hidden="1">
      <c r="A171" s="434"/>
      <c r="C171" s="433"/>
      <c r="D171" s="2249"/>
      <c r="E171" s="2257"/>
      <c r="F171" s="2260"/>
      <c r="G171" s="2257"/>
      <c r="H171" s="1412"/>
      <c r="I171" s="2059"/>
      <c r="J171" s="2059"/>
      <c r="K171" s="2059"/>
      <c r="L171" s="2059"/>
      <c r="M171" s="2059"/>
      <c r="N171" s="2059"/>
      <c r="O171" s="2059"/>
      <c r="P171" s="2059"/>
      <c r="Q171" s="2059"/>
      <c r="R171" s="2059"/>
      <c r="S171" s="1414"/>
      <c r="T171" s="1414"/>
      <c r="U171" s="1414"/>
      <c r="V171" s="1414"/>
      <c r="W171" s="2060"/>
      <c r="X171" s="1379"/>
      <c r="Y171" s="1379"/>
      <c r="Z171" s="1379"/>
      <c r="AA171" s="1379"/>
      <c r="AB171" s="1379"/>
      <c r="AC171" s="1379"/>
      <c r="AD171" s="1379"/>
      <c r="AE171" s="1379"/>
      <c r="AF171" s="1379"/>
      <c r="AG171" s="1379"/>
      <c r="AH171" s="1379"/>
      <c r="AI171" s="1379"/>
      <c r="AJ171" s="1379"/>
      <c r="AK171" s="1379"/>
      <c r="AL171" s="1379"/>
      <c r="AM171" s="1379"/>
      <c r="AN171" s="1379"/>
      <c r="AO171" s="1379"/>
      <c r="AP171" s="1379"/>
      <c r="AQ171" s="1379"/>
      <c r="AR171" s="1580">
        <v>0</v>
      </c>
    </row>
    <row s="8491" customFormat="1" customHeight="1" ht="11.25" hidden="1">
      <c r="A172" s="390"/>
      <c r="B172" s="390"/>
      <c r="Y172" s="1372"/>
      <c r="Z172" s="1372"/>
      <c r="AA172" s="1372"/>
      <c r="AB172" s="1372"/>
      <c r="AC172" s="1372"/>
      <c r="AD172" s="1372"/>
      <c r="AE172" s="1372"/>
      <c r="AF172" s="1372"/>
      <c r="AG172" s="1372"/>
      <c r="AH172" s="1372"/>
      <c r="AI172" s="1372"/>
      <c r="AJ172" s="1372"/>
      <c r="AK172" s="1372"/>
      <c r="AL172" s="1372"/>
      <c r="AM172" s="1372"/>
      <c r="AN172" s="1372"/>
      <c r="AO172" s="1372"/>
      <c r="AP172" s="1372"/>
      <c r="AQ172" s="1372"/>
      <c r="AR172" s="1580">
        <v>0</v>
      </c>
    </row>
    <row s="8491" customFormat="1" customHeight="1" ht="17.25" hidden="1">
      <c r="A173" s="434"/>
      <c r="C173" s="322"/>
      <c r="D173" s="2248">
        <v>1</v>
      </c>
      <c r="E173" s="2256" t="s">
        <v>392</v>
      </c>
      <c r="F173" s="2258" t="s">
        <v>19</v>
      </c>
      <c r="G173" s="2256"/>
      <c r="H173" s="2261"/>
      <c r="I173" s="2263"/>
      <c r="J173" s="2265"/>
      <c r="K173" s="2250"/>
      <c r="L173" s="2250"/>
      <c r="M173" s="2250"/>
      <c r="N173" s="2252"/>
      <c r="O173" s="2250"/>
      <c r="P173" s="2250"/>
      <c r="Q173" s="2250"/>
      <c r="R173" s="2255"/>
      <c r="S173" s="2250"/>
      <c r="T173" s="1583"/>
      <c r="U173" s="1583"/>
      <c r="V173" s="1585"/>
      <c r="W173" s="1409"/>
      <c r="Y173" s="1380"/>
      <c r="Z173" s="1380"/>
      <c r="AA173" s="1380"/>
      <c r="AB173" s="1380"/>
      <c r="AC173" s="1380" t="s">
        <v>393</v>
      </c>
      <c r="AD173" s="1380" t="s">
        <v>394</v>
      </c>
      <c r="AE173" s="1380" t="s">
        <v>395</v>
      </c>
      <c r="AF173" s="1380" t="s">
        <v>396</v>
      </c>
      <c r="AG173" s="1380"/>
      <c r="AH173" s="1380" t="str">
        <f>IF($E$173=0,"",$E$173)</f>
        <v>Тариф на водоотведение</v>
      </c>
      <c r="AI173" s="1380" t="str">
        <f>IF($G$173=0,"",$G$173)</f>
        <v/>
      </c>
      <c r="AJ173" s="1380" t="str">
        <f>IF($J$173=0,"",$J$173)</f>
        <v/>
      </c>
      <c r="AK173" s="1380" t="str">
        <f>IF($K$173="нет","без дифференциации",IF($N$173=0,"",$N$173))</f>
        <v/>
      </c>
      <c r="AL173" s="1380" t="str">
        <f>IF($O$173="нет","без дифференциации",IF($R$173=0,"",$R$173))</f>
        <v/>
      </c>
      <c r="AM173" s="1380" t="str">
        <f>IF($S$173="нет","без дифференциации",IF($V$173=0,"",$V$173))</f>
        <v/>
      </c>
      <c r="AN173" s="1380">
        <f>$I$173</f>
        <v>0</v>
      </c>
      <c r="AO173" s="1380" t="str">
        <f>$I$173&amp;"."&amp;$M$173</f>
        <v>.</v>
      </c>
      <c r="AP173" s="1380" t="str">
        <f>$I$173&amp;"."&amp;$M$173&amp;"."&amp;$Q$173</f>
        <v>..</v>
      </c>
      <c r="AQ173" s="1380" t="str">
        <f>$I$173&amp;"."&amp;$M$173&amp;"."&amp;$Q$173&amp;"."&amp;$U$173</f>
        <v>...</v>
      </c>
      <c r="AR173" s="1580">
        <v>0</v>
      </c>
    </row>
    <row s="8491" customFormat="1" customHeight="1" ht="17.25" hidden="1">
      <c r="A174" s="434"/>
      <c r="C174" s="433"/>
      <c r="D174" s="2248"/>
      <c r="E174" s="2256"/>
      <c r="F174" s="2259"/>
      <c r="G174" s="2256"/>
      <c r="H174" s="2262"/>
      <c r="I174" s="2264"/>
      <c r="J174" s="2266"/>
      <c r="K174" s="2251"/>
      <c r="L174" s="2251"/>
      <c r="M174" s="2251"/>
      <c r="N174" s="2253"/>
      <c r="O174" s="2251"/>
      <c r="P174" s="2251"/>
      <c r="Q174" s="2251"/>
      <c r="R174" s="2254"/>
      <c r="S174" s="2251"/>
      <c r="T174" s="1410"/>
      <c r="U174" s="1410"/>
      <c r="V174" s="1410"/>
      <c r="W174" s="1411"/>
      <c r="Y174" s="1372"/>
      <c r="Z174" s="1372"/>
      <c r="AA174" s="1372"/>
      <c r="AB174" s="1372"/>
      <c r="AC174" s="1372"/>
      <c r="AD174" s="1372"/>
      <c r="AE174" s="1372"/>
      <c r="AF174" s="1372"/>
      <c r="AG174" s="1372"/>
      <c r="AH174" s="1372"/>
      <c r="AI174" s="1372"/>
      <c r="AJ174" s="1372"/>
      <c r="AK174" s="1372"/>
      <c r="AL174" s="1372"/>
      <c r="AM174" s="1372"/>
      <c r="AN174" s="1372"/>
      <c r="AO174" s="1372"/>
      <c r="AP174" s="1372"/>
      <c r="AQ174" s="1372"/>
      <c r="AR174" s="1580">
        <v>0</v>
      </c>
    </row>
    <row s="8491" customFormat="1" customHeight="1" ht="17.25" hidden="1">
      <c r="A175" s="434"/>
      <c r="C175" s="322"/>
      <c r="D175" s="2248"/>
      <c r="E175" s="2256"/>
      <c r="F175" s="2259"/>
      <c r="G175" s="2256"/>
      <c r="H175" s="2262"/>
      <c r="I175" s="2264"/>
      <c r="J175" s="2267"/>
      <c r="K175" s="2251"/>
      <c r="L175" s="2251"/>
      <c r="M175" s="2251"/>
      <c r="N175" s="2254"/>
      <c r="O175" s="2251"/>
      <c r="P175" s="1584"/>
      <c r="Q175" s="1410"/>
      <c r="R175" s="1410"/>
      <c r="S175" s="442"/>
      <c r="T175" s="442"/>
      <c r="U175" s="442"/>
      <c r="V175" s="442"/>
      <c r="W175" s="1411"/>
      <c r="Y175" s="1380"/>
      <c r="Z175" s="1380"/>
      <c r="AA175" s="1380"/>
      <c r="AB175" s="1380"/>
      <c r="AC175" s="1380"/>
      <c r="AD175" s="1380"/>
      <c r="AE175" s="1380"/>
      <c r="AF175" s="1380"/>
      <c r="AG175" s="1380"/>
      <c r="AH175" s="1380"/>
      <c r="AI175" s="1380"/>
      <c r="AJ175" s="1380"/>
      <c r="AK175" s="1380"/>
      <c r="AL175" s="1380"/>
      <c r="AM175" s="1380"/>
      <c r="AN175" s="1380"/>
      <c r="AO175" s="1380"/>
      <c r="AP175" s="1380"/>
      <c r="AQ175" s="1380"/>
      <c r="AR175" s="1580">
        <v>0</v>
      </c>
    </row>
    <row s="8491" customFormat="1" customHeight="1" ht="17.25" hidden="1">
      <c r="A176" s="434"/>
      <c r="C176" s="433"/>
      <c r="D176" s="2248"/>
      <c r="E176" s="2256"/>
      <c r="F176" s="2259"/>
      <c r="G176" s="2256"/>
      <c r="H176" s="2262"/>
      <c r="I176" s="2264"/>
      <c r="J176" s="2267"/>
      <c r="K176" s="2251"/>
      <c r="L176" s="1410"/>
      <c r="M176" s="1410"/>
      <c r="N176" s="1410"/>
      <c r="O176" s="1410"/>
      <c r="P176" s="1410"/>
      <c r="Q176" s="1410"/>
      <c r="R176" s="1410"/>
      <c r="S176" s="442"/>
      <c r="T176" s="442"/>
      <c r="U176" s="442"/>
      <c r="V176" s="442"/>
      <c r="W176" s="1411"/>
      <c r="Y176" s="1372"/>
      <c r="Z176" s="1372"/>
      <c r="AA176" s="1372"/>
      <c r="AB176" s="1372"/>
      <c r="AC176" s="1372"/>
      <c r="AD176" s="1372"/>
      <c r="AE176" s="1372"/>
      <c r="AF176" s="1372"/>
      <c r="AG176" s="1372"/>
      <c r="AH176" s="1372"/>
      <c r="AI176" s="1372"/>
      <c r="AJ176" s="1372"/>
      <c r="AK176" s="1372"/>
      <c r="AL176" s="1372"/>
      <c r="AM176" s="1372"/>
      <c r="AN176" s="1372"/>
      <c r="AO176" s="1372"/>
      <c r="AP176" s="1372"/>
      <c r="AQ176" s="1372"/>
      <c r="AR176" s="1580">
        <v>0</v>
      </c>
    </row>
    <row s="8491" customFormat="1" customHeight="1" ht="17.25" hidden="1">
      <c r="A177" s="434"/>
      <c r="C177" s="433"/>
      <c r="D177" s="2249"/>
      <c r="E177" s="2257"/>
      <c r="F177" s="2260"/>
      <c r="G177" s="2257"/>
      <c r="H177" s="1412"/>
      <c r="I177" s="1413"/>
      <c r="J177" s="1413"/>
      <c r="K177" s="1413"/>
      <c r="L177" s="1413"/>
      <c r="M177" s="1413"/>
      <c r="N177" s="1413"/>
      <c r="O177" s="1413"/>
      <c r="P177" s="1413"/>
      <c r="Q177" s="1413"/>
      <c r="R177" s="1413"/>
      <c r="S177" s="1414"/>
      <c r="T177" s="1414"/>
      <c r="U177" s="1414"/>
      <c r="V177" s="1414"/>
      <c r="W177" s="1415"/>
      <c r="Y177" s="1372"/>
      <c r="Z177" s="1372"/>
      <c r="AA177" s="1372"/>
      <c r="AB177" s="1372"/>
      <c r="AC177" s="1372"/>
      <c r="AD177" s="1372"/>
      <c r="AE177" s="1372"/>
      <c r="AF177" s="1372"/>
      <c r="AG177" s="1372"/>
      <c r="AH177" s="1372"/>
      <c r="AI177" s="1372"/>
      <c r="AJ177" s="1372"/>
      <c r="AK177" s="1372"/>
      <c r="AL177" s="1372"/>
      <c r="AM177" s="1372"/>
      <c r="AN177" s="1372"/>
      <c r="AO177" s="1372"/>
      <c r="AP177" s="1372"/>
      <c r="AQ177" s="1372"/>
      <c r="AR177" s="1580">
        <v>0</v>
      </c>
    </row>
    <row s="8491" customFormat="1" customHeight="1" ht="17.25" hidden="1">
      <c r="A178" s="434"/>
      <c r="C178" s="322"/>
      <c r="D178" s="2248">
        <v>2</v>
      </c>
      <c r="E178" s="2256" t="s">
        <v>397</v>
      </c>
      <c r="F178" s="2258" t="s">
        <v>19</v>
      </c>
      <c r="G178" s="2256"/>
      <c r="H178" s="2261"/>
      <c r="I178" s="2263"/>
      <c r="J178" s="2265"/>
      <c r="K178" s="2250"/>
      <c r="L178" s="2250"/>
      <c r="M178" s="2250"/>
      <c r="N178" s="2252"/>
      <c r="O178" s="2250"/>
      <c r="P178" s="2250"/>
      <c r="Q178" s="2250"/>
      <c r="R178" s="2255"/>
      <c r="S178" s="2250"/>
      <c r="T178" s="1583"/>
      <c r="U178" s="1583"/>
      <c r="V178" s="1585"/>
      <c r="W178" s="1409"/>
      <c r="X178" s="1380"/>
      <c r="Y178" s="1380"/>
      <c r="Z178" s="1380"/>
      <c r="AA178" s="1380"/>
      <c r="AB178" s="1380"/>
      <c r="AC178" s="1380" t="s">
        <v>398</v>
      </c>
      <c r="AD178" s="1380" t="s">
        <v>399</v>
      </c>
      <c r="AE178" s="1380" t="s">
        <v>400</v>
      </c>
      <c r="AF178" s="1380" t="s">
        <v>401</v>
      </c>
      <c r="AG178" s="1380"/>
      <c r="AH178" s="1380" t="str">
        <f>IF($E$178=0,"",$E$178)</f>
        <v>Тариф на транспортировку сточных вод</v>
      </c>
      <c r="AI178" s="1380" t="str">
        <f>IF($G$178=0,"",$G$178)</f>
        <v/>
      </c>
      <c r="AJ178" s="1380" t="str">
        <f>IF($J$178=0,"",$J$178)</f>
        <v/>
      </c>
      <c r="AK178" s="1380" t="str">
        <f>IF($K$178="нет","без дифференциации",IF($N$178=0,"",$N$178))</f>
        <v/>
      </c>
      <c r="AL178" s="1380" t="str">
        <f>IF($O$178="нет","без дифференциации",IF($R$178=0,"",$R$178))</f>
        <v/>
      </c>
      <c r="AM178" s="1380" t="str">
        <f>IF($S$178="нет","без дифференциации",IF($V$178=0,"",$V$178))</f>
        <v/>
      </c>
      <c r="AN178" s="1885">
        <f>$I$178</f>
        <v>0</v>
      </c>
      <c r="AO178" s="1380" t="str">
        <f>$I$178&amp;"."&amp;$M$178</f>
        <v>.</v>
      </c>
      <c r="AP178" s="1372" t="str">
        <f>$I$178&amp;"."&amp;$M$178&amp;"."&amp;$Q$178</f>
        <v>..</v>
      </c>
      <c r="AQ178" s="1372" t="str">
        <f>$I$178&amp;"."&amp;$M$178&amp;"."&amp;$Q$178&amp;"."&amp;$U$178</f>
        <v>...</v>
      </c>
      <c r="AR178" s="1580">
        <v>0</v>
      </c>
    </row>
    <row s="8491" customFormat="1" customHeight="1" ht="17.25" hidden="1">
      <c r="A179" s="434"/>
      <c r="C179" s="433"/>
      <c r="D179" s="2248"/>
      <c r="E179" s="2256"/>
      <c r="F179" s="2259"/>
      <c r="G179" s="2256"/>
      <c r="H179" s="2262"/>
      <c r="I179" s="2264"/>
      <c r="J179" s="2266"/>
      <c r="K179" s="2251"/>
      <c r="L179" s="2251"/>
      <c r="M179" s="2251"/>
      <c r="N179" s="2253"/>
      <c r="O179" s="2251"/>
      <c r="P179" s="2251"/>
      <c r="Q179" s="2251"/>
      <c r="R179" s="2254"/>
      <c r="S179" s="2251"/>
      <c r="T179" s="1410"/>
      <c r="U179" s="1410"/>
      <c r="V179" s="1410"/>
      <c r="W179" s="1411"/>
      <c r="X179" s="1372"/>
      <c r="Y179" s="1372"/>
      <c r="Z179" s="1372"/>
      <c r="AA179" s="1372"/>
      <c r="AB179" s="1372"/>
      <c r="AC179" s="1372"/>
      <c r="AD179" s="1372"/>
      <c r="AE179" s="1372"/>
      <c r="AF179" s="1372"/>
      <c r="AG179" s="1372"/>
      <c r="AH179" s="1372"/>
      <c r="AI179" s="1372"/>
      <c r="AJ179" s="1372"/>
      <c r="AK179" s="1372"/>
      <c r="AL179" s="1372"/>
      <c r="AM179" s="1372"/>
      <c r="AN179" s="1372"/>
      <c r="AO179" s="1372"/>
      <c r="AP179" s="1372"/>
      <c r="AQ179" s="1372"/>
      <c r="AR179" s="1580">
        <v>0</v>
      </c>
    </row>
    <row s="8491" customFormat="1" customHeight="1" ht="17.25" hidden="1">
      <c r="A180" s="434"/>
      <c r="C180" s="433"/>
      <c r="D180" s="2249"/>
      <c r="E180" s="2257"/>
      <c r="F180" s="2259"/>
      <c r="G180" s="2257"/>
      <c r="H180" s="2262"/>
      <c r="I180" s="2264"/>
      <c r="J180" s="2267"/>
      <c r="K180" s="2251"/>
      <c r="L180" s="2251"/>
      <c r="M180" s="2251"/>
      <c r="N180" s="2254"/>
      <c r="O180" s="2251"/>
      <c r="P180" s="1584"/>
      <c r="Q180" s="1410"/>
      <c r="R180" s="1410"/>
      <c r="S180" s="442"/>
      <c r="T180" s="442"/>
      <c r="U180" s="442"/>
      <c r="V180" s="442"/>
      <c r="W180" s="1411"/>
      <c r="X180" s="1372"/>
      <c r="Y180" s="1372"/>
      <c r="Z180" s="1372"/>
      <c r="AA180" s="1372"/>
      <c r="AB180" s="1372"/>
      <c r="AC180" s="1372"/>
      <c r="AD180" s="1372"/>
      <c r="AE180" s="1372"/>
      <c r="AF180" s="1372"/>
      <c r="AG180" s="1372"/>
      <c r="AH180" s="1372"/>
      <c r="AI180" s="1372"/>
      <c r="AJ180" s="1372"/>
      <c r="AK180" s="1372"/>
      <c r="AL180" s="1372"/>
      <c r="AM180" s="1372"/>
      <c r="AN180" s="1372"/>
      <c r="AO180" s="1372"/>
      <c r="AP180" s="1372"/>
      <c r="AQ180" s="1372"/>
      <c r="AR180" s="1580">
        <v>0</v>
      </c>
    </row>
    <row s="8491" customFormat="1" customHeight="1" ht="17.25" hidden="1">
      <c r="A181" s="434"/>
      <c r="C181" s="433"/>
      <c r="D181" s="2249"/>
      <c r="E181" s="2257"/>
      <c r="F181" s="2259"/>
      <c r="G181" s="2257"/>
      <c r="H181" s="2262"/>
      <c r="I181" s="2264"/>
      <c r="J181" s="2267"/>
      <c r="K181" s="2251"/>
      <c r="L181" s="1410"/>
      <c r="M181" s="1410"/>
      <c r="N181" s="1410"/>
      <c r="O181" s="1410"/>
      <c r="P181" s="1410"/>
      <c r="Q181" s="1410"/>
      <c r="R181" s="1410"/>
      <c r="S181" s="442"/>
      <c r="T181" s="442"/>
      <c r="U181" s="442"/>
      <c r="V181" s="442"/>
      <c r="W181" s="1411"/>
      <c r="X181" s="1372"/>
      <c r="Y181" s="1372"/>
      <c r="Z181" s="1372"/>
      <c r="AA181" s="1372"/>
      <c r="AB181" s="1372"/>
      <c r="AC181" s="1372"/>
      <c r="AD181" s="1372"/>
      <c r="AE181" s="1372"/>
      <c r="AF181" s="1372"/>
      <c r="AG181" s="1372"/>
      <c r="AH181" s="1372"/>
      <c r="AI181" s="1372"/>
      <c r="AJ181" s="1372"/>
      <c r="AK181" s="1372"/>
      <c r="AL181" s="1372"/>
      <c r="AM181" s="1372"/>
      <c r="AN181" s="1372"/>
      <c r="AO181" s="1372"/>
      <c r="AP181" s="1372"/>
      <c r="AQ181" s="1372"/>
      <c r="AR181" s="1580">
        <v>0</v>
      </c>
    </row>
    <row s="8491" customFormat="1" customHeight="1" ht="17.25" hidden="1">
      <c r="A182" s="434"/>
      <c r="C182" s="433"/>
      <c r="D182" s="2249"/>
      <c r="E182" s="2257"/>
      <c r="F182" s="2260"/>
      <c r="G182" s="2257"/>
      <c r="H182" s="1412"/>
      <c r="I182" s="1413"/>
      <c r="J182" s="1413"/>
      <c r="K182" s="1413"/>
      <c r="L182" s="1413"/>
      <c r="M182" s="1413"/>
      <c r="N182" s="1413"/>
      <c r="O182" s="1413"/>
      <c r="P182" s="1413"/>
      <c r="Q182" s="1413"/>
      <c r="R182" s="1413"/>
      <c r="S182" s="1414"/>
      <c r="T182" s="1414"/>
      <c r="U182" s="1414"/>
      <c r="V182" s="1414"/>
      <c r="W182" s="1415"/>
      <c r="X182" s="1372"/>
      <c r="Y182" s="1372"/>
      <c r="Z182" s="1372"/>
      <c r="AA182" s="1372"/>
      <c r="AB182" s="1372"/>
      <c r="AC182" s="1372"/>
      <c r="AD182" s="1372"/>
      <c r="AE182" s="1372"/>
      <c r="AF182" s="1372"/>
      <c r="AG182" s="1372"/>
      <c r="AH182" s="1372"/>
      <c r="AI182" s="1372"/>
      <c r="AJ182" s="1372"/>
      <c r="AK182" s="1372"/>
      <c r="AL182" s="1372"/>
      <c r="AM182" s="1372"/>
      <c r="AN182" s="1372"/>
      <c r="AO182" s="1372"/>
      <c r="AP182" s="1372"/>
      <c r="AQ182" s="1372"/>
      <c r="AR182" s="1580">
        <v>0</v>
      </c>
    </row>
    <row s="8491" customFormat="1" customHeight="1" ht="17.25" hidden="1">
      <c r="A183" s="434"/>
      <c r="C183" s="322"/>
      <c r="D183" s="2248">
        <v>3</v>
      </c>
      <c r="E183" s="2256" t="s">
        <v>402</v>
      </c>
      <c r="F183" s="2258" t="s">
        <v>19</v>
      </c>
      <c r="G183" s="2256"/>
      <c r="H183" s="2261"/>
      <c r="I183" s="2263"/>
      <c r="J183" s="2265"/>
      <c r="K183" s="2250"/>
      <c r="L183" s="2250"/>
      <c r="M183" s="2250"/>
      <c r="N183" s="2252"/>
      <c r="O183" s="2250"/>
      <c r="P183" s="2250"/>
      <c r="Q183" s="2250"/>
      <c r="R183" s="2255"/>
      <c r="S183" s="2250"/>
      <c r="T183" s="2056"/>
      <c r="U183" s="2056"/>
      <c r="V183" s="2058"/>
      <c r="W183" s="1409"/>
      <c r="X183" s="1380"/>
      <c r="Y183" s="1380"/>
      <c r="Z183" s="1380"/>
      <c r="AA183" s="1380"/>
      <c r="AB183" s="1380"/>
      <c r="AC183" s="1380" t="s">
        <v>403</v>
      </c>
      <c r="AD183" s="1380" t="s">
        <v>404</v>
      </c>
      <c r="AE183" s="1380" t="s">
        <v>405</v>
      </c>
      <c r="AF183" s="1380" t="s">
        <v>406</v>
      </c>
      <c r="AG183" s="1380"/>
      <c r="AH183" s="1380" t="str">
        <f>IF($E$183=0,"",$E$183)</f>
        <v>Тариф на подключение (технологическое присоединение) к централизованной системе водоотведения</v>
      </c>
      <c r="AI183" s="1380" t="str">
        <f>IF($G$183=0,"",$G$183)</f>
        <v/>
      </c>
      <c r="AJ183" s="1380" t="str">
        <f>IF($J$183=0,"",$J$183)</f>
        <v/>
      </c>
      <c r="AK183" s="1380" t="str">
        <f>IF($K$183="нет","без дифференциации",IF($N$183=0,"",$N$183))</f>
        <v/>
      </c>
      <c r="AL183" s="1380" t="str">
        <f>IF($O$183="нет","без дифференциации",IF($R$183=0,"",$R$183))</f>
        <v/>
      </c>
      <c r="AM183" s="1380" t="str">
        <f>IF($S$183="нет","без дифференциации",IF($V$183=0,"",$V$183))</f>
        <v/>
      </c>
      <c r="AN183" s="1885">
        <f>$I$183</f>
        <v>0</v>
      </c>
      <c r="AO183" s="1380" t="str">
        <f>$I$183&amp;"."&amp;$M$183</f>
        <v>.</v>
      </c>
      <c r="AP183" s="1379" t="str">
        <f>$I$183&amp;"."&amp;$M$183&amp;"."&amp;$Q$183</f>
        <v>..</v>
      </c>
      <c r="AQ183" s="1379" t="str">
        <f>$I$183&amp;"."&amp;$M$183&amp;"."&amp;$Q$183&amp;"."&amp;$U$183</f>
        <v>...</v>
      </c>
      <c r="AR183" s="1580">
        <v>0</v>
      </c>
    </row>
    <row s="8491" customFormat="1" customHeight="1" ht="17.25" hidden="1">
      <c r="A184" s="434"/>
      <c r="C184" s="433"/>
      <c r="D184" s="2248"/>
      <c r="E184" s="2256"/>
      <c r="F184" s="2259"/>
      <c r="G184" s="2256"/>
      <c r="H184" s="2262"/>
      <c r="I184" s="2264"/>
      <c r="J184" s="2266"/>
      <c r="K184" s="2251"/>
      <c r="L184" s="2251"/>
      <c r="M184" s="2251"/>
      <c r="N184" s="2253"/>
      <c r="O184" s="2251"/>
      <c r="P184" s="2251"/>
      <c r="Q184" s="2251"/>
      <c r="R184" s="2254"/>
      <c r="S184" s="2251"/>
      <c r="T184" s="2061"/>
      <c r="U184" s="2061"/>
      <c r="V184" s="2061"/>
      <c r="W184" s="2062"/>
      <c r="X184" s="1379"/>
      <c r="Y184" s="1379"/>
      <c r="Z184" s="1379"/>
      <c r="AA184" s="1379"/>
      <c r="AB184" s="1379"/>
      <c r="AC184" s="1379"/>
      <c r="AD184" s="1379"/>
      <c r="AE184" s="1379"/>
      <c r="AF184" s="1379"/>
      <c r="AG184" s="1379"/>
      <c r="AH184" s="1379"/>
      <c r="AI184" s="1379"/>
      <c r="AJ184" s="1379"/>
      <c r="AK184" s="1379"/>
      <c r="AL184" s="1379"/>
      <c r="AM184" s="1379"/>
      <c r="AN184" s="1379"/>
      <c r="AO184" s="1379"/>
      <c r="AP184" s="1379"/>
      <c r="AQ184" s="1379"/>
      <c r="AR184" s="1580">
        <v>0</v>
      </c>
    </row>
    <row s="8491" customFormat="1" customHeight="1" ht="17.25" hidden="1">
      <c r="A185" s="434"/>
      <c r="C185" s="433"/>
      <c r="D185" s="2249"/>
      <c r="E185" s="2257"/>
      <c r="F185" s="2259"/>
      <c r="G185" s="2257"/>
      <c r="H185" s="2262"/>
      <c r="I185" s="2264"/>
      <c r="J185" s="2267"/>
      <c r="K185" s="2251"/>
      <c r="L185" s="2251"/>
      <c r="M185" s="2251"/>
      <c r="N185" s="2254"/>
      <c r="O185" s="2251"/>
      <c r="P185" s="2057"/>
      <c r="Q185" s="2061"/>
      <c r="R185" s="2061"/>
      <c r="S185" s="442"/>
      <c r="T185" s="442"/>
      <c r="U185" s="442"/>
      <c r="V185" s="442"/>
      <c r="W185" s="2062"/>
      <c r="X185" s="1379"/>
      <c r="Y185" s="1379"/>
      <c r="Z185" s="1379"/>
      <c r="AA185" s="1379"/>
      <c r="AB185" s="1379"/>
      <c r="AC185" s="1379"/>
      <c r="AD185" s="1379"/>
      <c r="AE185" s="1379"/>
      <c r="AF185" s="1379"/>
      <c r="AG185" s="1379"/>
      <c r="AH185" s="1379"/>
      <c r="AI185" s="1379"/>
      <c r="AJ185" s="1379"/>
      <c r="AK185" s="1379"/>
      <c r="AL185" s="1379"/>
      <c r="AM185" s="1379"/>
      <c r="AN185" s="1379"/>
      <c r="AO185" s="1379"/>
      <c r="AP185" s="1379"/>
      <c r="AQ185" s="1379"/>
      <c r="AR185" s="1580">
        <v>0</v>
      </c>
    </row>
    <row s="8491" customFormat="1" customHeight="1" ht="17.25" hidden="1">
      <c r="A186" s="434"/>
      <c r="C186" s="433"/>
      <c r="D186" s="2249"/>
      <c r="E186" s="2257"/>
      <c r="F186" s="2259"/>
      <c r="G186" s="2257"/>
      <c r="H186" s="2262"/>
      <c r="I186" s="2264"/>
      <c r="J186" s="2267"/>
      <c r="K186" s="2251"/>
      <c r="L186" s="2061"/>
      <c r="M186" s="2061"/>
      <c r="N186" s="2061"/>
      <c r="O186" s="2061"/>
      <c r="P186" s="2061"/>
      <c r="Q186" s="2061"/>
      <c r="R186" s="2061"/>
      <c r="S186" s="442"/>
      <c r="T186" s="442"/>
      <c r="U186" s="442"/>
      <c r="V186" s="442"/>
      <c r="W186" s="2062"/>
      <c r="X186" s="1379"/>
      <c r="Y186" s="1379"/>
      <c r="Z186" s="1379"/>
      <c r="AA186" s="1379"/>
      <c r="AB186" s="1379"/>
      <c r="AC186" s="1379"/>
      <c r="AD186" s="1379"/>
      <c r="AE186" s="1379"/>
      <c r="AF186" s="1379"/>
      <c r="AG186" s="1379"/>
      <c r="AH186" s="1379"/>
      <c r="AI186" s="1379"/>
      <c r="AJ186" s="1379"/>
      <c r="AK186" s="1379"/>
      <c r="AL186" s="1379"/>
      <c r="AM186" s="1379"/>
      <c r="AN186" s="1379"/>
      <c r="AO186" s="1379"/>
      <c r="AP186" s="1379"/>
      <c r="AQ186" s="1379"/>
      <c r="AR186" s="1580">
        <v>0</v>
      </c>
    </row>
    <row s="8491" customFormat="1" customHeight="1" ht="17.25" hidden="1">
      <c r="A187" s="434"/>
      <c r="C187" s="433"/>
      <c r="D187" s="2249"/>
      <c r="E187" s="2257"/>
      <c r="F187" s="2260"/>
      <c r="G187" s="2257"/>
      <c r="H187" s="1412"/>
      <c r="I187" s="2059"/>
      <c r="J187" s="2059"/>
      <c r="K187" s="2059"/>
      <c r="L187" s="2059"/>
      <c r="M187" s="2059"/>
      <c r="N187" s="2059"/>
      <c r="O187" s="2059"/>
      <c r="P187" s="2059"/>
      <c r="Q187" s="2059"/>
      <c r="R187" s="2059"/>
      <c r="S187" s="1414"/>
      <c r="T187" s="1414"/>
      <c r="U187" s="1414"/>
      <c r="V187" s="1414"/>
      <c r="W187" s="2060"/>
      <c r="X187" s="1379"/>
      <c r="Y187" s="1379"/>
      <c r="Z187" s="1379"/>
      <c r="AA187" s="1379"/>
      <c r="AB187" s="1379"/>
      <c r="AC187" s="1379"/>
      <c r="AD187" s="1379"/>
      <c r="AE187" s="1379"/>
      <c r="AF187" s="1379"/>
      <c r="AG187" s="1379"/>
      <c r="AH187" s="1379"/>
      <c r="AI187" s="1379"/>
      <c r="AJ187" s="1379"/>
      <c r="AK187" s="1379"/>
      <c r="AL187" s="1379"/>
      <c r="AM187" s="1379"/>
      <c r="AN187" s="1379"/>
      <c r="AO187" s="1379"/>
      <c r="AP187" s="1379"/>
      <c r="AQ187" s="1379"/>
      <c r="AR187" s="1580">
        <v>0</v>
      </c>
    </row>
    <row customHeight="1" ht="11.549999999999999">
      <c r="AR188" s="217">
        <v>11</v>
      </c>
    </row>
    <row customHeight="1" ht="11.549999999999999">
      <c r="AR189" s="217">
        <v>11</v>
      </c>
    </row>
    <row customHeight="1" ht="11.549999999999999">
      <c r="AR190" s="217">
        <v>11</v>
      </c>
    </row>
    <row customHeight="1" ht="11.549999999999999">
      <c r="E191" s="1463"/>
      <c r="AR191" s="217">
        <v>11</v>
      </c>
    </row>
    <row customHeight="1" ht="11.549999999999999">
      <c r="E192" s="1463"/>
      <c r="AR192" s="217">
        <v>11</v>
      </c>
    </row>
    <row customHeight="1" ht="11.549999999999999">
      <c r="E193" s="1463"/>
      <c r="AR193" s="217">
        <v>11</v>
      </c>
    </row>
    <row customHeight="1" ht="11.549999999999999">
      <c r="E194" s="1463"/>
      <c r="AR194" s="217">
        <v>11</v>
      </c>
    </row>
    <row customHeight="1" ht="11.549999999999999">
      <c r="E195" s="1463"/>
      <c r="AR195" s="217">
        <v>11</v>
      </c>
    </row>
    <row customHeight="1" ht="11.549999999999999">
      <c r="E196" s="1463"/>
      <c r="AR196" s="217">
        <v>11</v>
      </c>
    </row>
    <row customHeight="1" ht="11.549999999999999">
      <c r="E197" s="1463"/>
      <c r="AR197" s="217">
        <v>11</v>
      </c>
    </row>
    <row customHeight="1" ht="11.25" hidden="1">
      <c r="A198" s="266" t="s">
        <v>82</v>
      </c>
      <c r="B198" s="266">
        <v>0</v>
      </c>
      <c r="C198" s="217">
        <v>3</v>
      </c>
      <c r="D198" s="217">
        <v>6</v>
      </c>
      <c r="E198" s="217">
        <v>42</v>
      </c>
      <c r="F198" s="1396">
        <v>14</v>
      </c>
      <c r="G198" s="217">
        <v>42</v>
      </c>
      <c r="H198" s="217">
        <v>3</v>
      </c>
      <c r="I198" s="217">
        <v>5</v>
      </c>
      <c r="J198" s="217">
        <v>47</v>
      </c>
      <c r="K198" s="217">
        <v>3</v>
      </c>
      <c r="L198" s="217">
        <v>3</v>
      </c>
      <c r="M198" s="217">
        <v>5</v>
      </c>
      <c r="N198" s="217">
        <v>28</v>
      </c>
      <c r="O198" s="217">
        <v>3</v>
      </c>
      <c r="P198" s="217">
        <v>3</v>
      </c>
      <c r="Q198" s="217">
        <v>5</v>
      </c>
      <c r="R198" s="217">
        <v>34</v>
      </c>
      <c r="S198" s="395">
        <v>0</v>
      </c>
      <c r="T198" s="395">
        <v>0</v>
      </c>
      <c r="U198" s="395">
        <v>0</v>
      </c>
      <c r="V198" s="395">
        <v>0</v>
      </c>
      <c r="W198" s="217">
        <v>30</v>
      </c>
      <c r="X198" s="217">
        <v>3</v>
      </c>
      <c r="Y198" s="1372">
        <v>0</v>
      </c>
      <c r="Z198" s="1372">
        <v>0</v>
      </c>
      <c r="AA198" s="1372">
        <v>0</v>
      </c>
      <c r="AB198" s="1372">
        <v>0</v>
      </c>
      <c r="AC198" s="1372">
        <v>0</v>
      </c>
      <c r="AD198" s="1372">
        <v>0</v>
      </c>
      <c r="AE198" s="1372">
        <v>0</v>
      </c>
      <c r="AF198" s="1372">
        <v>0</v>
      </c>
      <c r="AG198" s="1372">
        <v>0</v>
      </c>
      <c r="AH198" s="1372">
        <v>0</v>
      </c>
      <c r="AI198" s="1372">
        <v>0</v>
      </c>
      <c r="AJ198" s="1372">
        <v>0</v>
      </c>
      <c r="AK198" s="1372">
        <v>0</v>
      </c>
      <c r="AL198" s="1372">
        <v>0</v>
      </c>
      <c r="AM198" s="1372">
        <v>0</v>
      </c>
      <c r="AN198" s="1372">
        <v>0</v>
      </c>
      <c r="AO198" s="1372">
        <v>0</v>
      </c>
      <c r="AP198" s="1372">
        <v>0</v>
      </c>
      <c r="AQ198" s="1372">
        <v>0</v>
      </c>
      <c r="AR198" s="217">
        <v>11</v>
      </c>
    </row>
  </sheetData>
  <sheetProtection formatColumns="0" formatRows="0" autoFilter="0" sort="0" insertRows="0" insertColumns="1" deleteRows="0" deleteColumns="0"/>
  <mergeCells count="534">
    <mergeCell ref="R23:R24"/>
    <mergeCell ref="S23:S24"/>
    <mergeCell ref="G23:G27"/>
    <mergeCell ref="H23:H26"/>
    <mergeCell ref="I23:I26"/>
    <mergeCell ref="J23:J26"/>
    <mergeCell ref="K23:K26"/>
    <mergeCell ref="L23:L25"/>
    <mergeCell ref="M23:M25"/>
    <mergeCell ref="N23:N25"/>
    <mergeCell ref="O23:O25"/>
    <mergeCell ref="M183:M185"/>
    <mergeCell ref="N183:N185"/>
    <mergeCell ref="O183:O185"/>
    <mergeCell ref="P183:P184"/>
    <mergeCell ref="Q183:Q184"/>
    <mergeCell ref="R183:R184"/>
    <mergeCell ref="S183:S184"/>
    <mergeCell ref="D183:D187"/>
    <mergeCell ref="E183:E187"/>
    <mergeCell ref="F183:F187"/>
    <mergeCell ref="G183:G187"/>
    <mergeCell ref="H183:H186"/>
    <mergeCell ref="I183:I186"/>
    <mergeCell ref="J183:J186"/>
    <mergeCell ref="K183:K186"/>
    <mergeCell ref="L183:L185"/>
    <mergeCell ref="N151:N153"/>
    <mergeCell ref="O151:O153"/>
    <mergeCell ref="P151:P152"/>
    <mergeCell ref="Q151:Q152"/>
    <mergeCell ref="R151:R152"/>
    <mergeCell ref="S151:S152"/>
    <mergeCell ref="D167:D171"/>
    <mergeCell ref="E167:E171"/>
    <mergeCell ref="F167:F171"/>
    <mergeCell ref="G167:G171"/>
    <mergeCell ref="H167:H170"/>
    <mergeCell ref="I167:I170"/>
    <mergeCell ref="J167:J170"/>
    <mergeCell ref="K167:K170"/>
    <mergeCell ref="L167:L169"/>
    <mergeCell ref="M167:M169"/>
    <mergeCell ref="N167:N169"/>
    <mergeCell ref="O167:O169"/>
    <mergeCell ref="P167:P168"/>
    <mergeCell ref="Q167:Q168"/>
    <mergeCell ref="R167:R168"/>
    <mergeCell ref="S167:S168"/>
    <mergeCell ref="D151:D155"/>
    <mergeCell ref="E151:E155"/>
    <mergeCell ref="F151:F155"/>
    <mergeCell ref="G151:G155"/>
    <mergeCell ref="H151:H154"/>
    <mergeCell ref="I151:I154"/>
    <mergeCell ref="J151:J154"/>
    <mergeCell ref="K151:K154"/>
    <mergeCell ref="L151:L153"/>
    <mergeCell ref="S178:S179"/>
    <mergeCell ref="D178:D182"/>
    <mergeCell ref="E178:E182"/>
    <mergeCell ref="F178:F182"/>
    <mergeCell ref="G178:G182"/>
    <mergeCell ref="H178:H181"/>
    <mergeCell ref="I178:I181"/>
    <mergeCell ref="J178:J181"/>
    <mergeCell ref="K178:K181"/>
    <mergeCell ref="L178:L180"/>
    <mergeCell ref="H173:H176"/>
    <mergeCell ref="I173:I176"/>
    <mergeCell ref="J173:J176"/>
    <mergeCell ref="K173:K176"/>
    <mergeCell ref="L173:L175"/>
    <mergeCell ref="M173:M175"/>
    <mergeCell ref="N173:N175"/>
    <mergeCell ref="M178:M180"/>
    <mergeCell ref="N178:N180"/>
    <mergeCell ref="O178:O180"/>
    <mergeCell ref="P173:P174"/>
    <mergeCell ref="Q173:Q174"/>
    <mergeCell ref="R173:R174"/>
    <mergeCell ref="P178:P179"/>
    <mergeCell ref="Q178:Q179"/>
    <mergeCell ref="R178:R179"/>
    <mergeCell ref="S173:S174"/>
    <mergeCell ref="D173:D177"/>
    <mergeCell ref="E173:E177"/>
    <mergeCell ref="F173:F177"/>
    <mergeCell ref="G173:G177"/>
    <mergeCell ref="M162:M164"/>
    <mergeCell ref="N162:N164"/>
    <mergeCell ref="O162:O164"/>
    <mergeCell ref="P162:P163"/>
    <mergeCell ref="Q162:Q163"/>
    <mergeCell ref="R162:R163"/>
    <mergeCell ref="S162:S163"/>
    <mergeCell ref="D162:D166"/>
    <mergeCell ref="E162:E166"/>
    <mergeCell ref="F162:F166"/>
    <mergeCell ref="G162:G166"/>
    <mergeCell ref="H162:H165"/>
    <mergeCell ref="I162:I165"/>
    <mergeCell ref="J162:J165"/>
    <mergeCell ref="K162:K165"/>
    <mergeCell ref="L162:L164"/>
    <mergeCell ref="O173:O175"/>
    <mergeCell ref="R13:R14"/>
    <mergeCell ref="S13:S14"/>
    <mergeCell ref="M48:M50"/>
    <mergeCell ref="N48:N50"/>
    <mergeCell ref="O48:O50"/>
    <mergeCell ref="N38:N40"/>
    <mergeCell ref="D157:D161"/>
    <mergeCell ref="E157:E161"/>
    <mergeCell ref="F157:F161"/>
    <mergeCell ref="G157:G161"/>
    <mergeCell ref="H157:H160"/>
    <mergeCell ref="I157:I160"/>
    <mergeCell ref="J157:J160"/>
    <mergeCell ref="K157:K160"/>
    <mergeCell ref="L157:L159"/>
    <mergeCell ref="P53:P54"/>
    <mergeCell ref="Q53:Q54"/>
    <mergeCell ref="R53:R54"/>
    <mergeCell ref="S53:S54"/>
    <mergeCell ref="P48:P49"/>
    <mergeCell ref="Q48:Q49"/>
    <mergeCell ref="R48:R49"/>
    <mergeCell ref="S48:S49"/>
    <mergeCell ref="S28:S29"/>
    <mergeCell ref="S18:S19"/>
    <mergeCell ref="M157:M159"/>
    <mergeCell ref="N157:N159"/>
    <mergeCell ref="O157:O159"/>
    <mergeCell ref="P157:P158"/>
    <mergeCell ref="Q157:Q158"/>
    <mergeCell ref="R157:R158"/>
    <mergeCell ref="S157:S158"/>
    <mergeCell ref="O53:O55"/>
    <mergeCell ref="E77:W77"/>
    <mergeCell ref="E69:W69"/>
    <mergeCell ref="E70:W70"/>
    <mergeCell ref="E71:W71"/>
    <mergeCell ref="E72:W72"/>
    <mergeCell ref="E73:W73"/>
    <mergeCell ref="E75:W75"/>
    <mergeCell ref="E76:W76"/>
    <mergeCell ref="K141:K144"/>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135"/>
    <mergeCell ref="E79:E135"/>
    <mergeCell ref="D136:D140"/>
    <mergeCell ref="E136:E140"/>
    <mergeCell ref="F136:F140"/>
    <mergeCell ref="G136:G140"/>
    <mergeCell ref="H136:H139"/>
    <mergeCell ref="I136:I139"/>
    <mergeCell ref="J136:J139"/>
    <mergeCell ref="F79:F135"/>
    <mergeCell ref="G79:G135"/>
    <mergeCell ref="K13:K16"/>
    <mergeCell ref="G18:G22"/>
    <mergeCell ref="K18:K21"/>
    <mergeCell ref="N28:N30"/>
    <mergeCell ref="L141:L143"/>
    <mergeCell ref="Q136:Q137"/>
    <mergeCell ref="R136:R137"/>
    <mergeCell ref="S136:S137"/>
    <mergeCell ref="K136:K139"/>
    <mergeCell ref="N136:N138"/>
    <mergeCell ref="O136:O138"/>
    <mergeCell ref="P136:P137"/>
    <mergeCell ref="S141:S142"/>
    <mergeCell ref="N141:N143"/>
    <mergeCell ref="O141:O143"/>
    <mergeCell ref="P141:P142"/>
    <mergeCell ref="Q141:Q142"/>
    <mergeCell ref="R141:R142"/>
    <mergeCell ref="L136:L138"/>
    <mergeCell ref="M136:M138"/>
    <mergeCell ref="M146:M148"/>
    <mergeCell ref="N146:N148"/>
    <mergeCell ref="O146:O148"/>
    <mergeCell ref="P146:P147"/>
    <mergeCell ref="Q146:Q147"/>
    <mergeCell ref="R146:R147"/>
    <mergeCell ref="S146:S147"/>
    <mergeCell ref="D141:D145"/>
    <mergeCell ref="E141:E145"/>
    <mergeCell ref="M141:M143"/>
    <mergeCell ref="D146:D150"/>
    <mergeCell ref="E146:E150"/>
    <mergeCell ref="F146:F150"/>
    <mergeCell ref="G146:G150"/>
    <mergeCell ref="H146:H149"/>
    <mergeCell ref="I146:I149"/>
    <mergeCell ref="J146:J149"/>
    <mergeCell ref="K146:K149"/>
    <mergeCell ref="L146:L148"/>
    <mergeCell ref="F141:F145"/>
    <mergeCell ref="G141:G145"/>
    <mergeCell ref="H141:H144"/>
    <mergeCell ref="I141:I144"/>
    <mergeCell ref="J141:J144"/>
    <mergeCell ref="S63:S64"/>
    <mergeCell ref="E58:E62"/>
    <mergeCell ref="F58:F62"/>
    <mergeCell ref="G58:G62"/>
    <mergeCell ref="H58:H61"/>
    <mergeCell ref="I58:I61"/>
    <mergeCell ref="J58:J61"/>
    <mergeCell ref="K58:K61"/>
    <mergeCell ref="L58:L60"/>
    <mergeCell ref="D58:D62"/>
    <mergeCell ref="M151:M153"/>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134"/>
    <mergeCell ref="I79:I134"/>
    <mergeCell ref="J79:J134"/>
    <mergeCell ref="K79:K134"/>
    <mergeCell ref="L79:L81"/>
    <mergeCell ref="W79:W80"/>
    <mergeCell ref="O79:O81"/>
    <mergeCell ref="P79:P80"/>
    <mergeCell ref="Q79:Q80"/>
    <mergeCell ref="R79:R80"/>
    <mergeCell ref="L82:L84"/>
    <mergeCell ref="M82:M84"/>
    <mergeCell ref="N82:N84"/>
    <mergeCell ref="O82:O84"/>
    <mergeCell ref="P82:P83"/>
    <mergeCell ref="Q82:Q83"/>
    <mergeCell ref="R82:R83"/>
    <mergeCell ref="S82:S83"/>
    <mergeCell ref="W82:W83"/>
    <mergeCell ref="L85:L87"/>
    <mergeCell ref="M85:M87"/>
    <mergeCell ref="N85:N87"/>
    <mergeCell ref="O85:O87"/>
    <mergeCell ref="P85:P86"/>
    <mergeCell ref="Q85:Q86"/>
    <mergeCell ref="R85:R86"/>
    <mergeCell ref="S85:S86"/>
    <mergeCell ref="W85:W86"/>
    <mergeCell ref="L88:L90"/>
    <mergeCell ref="M88:M90"/>
    <mergeCell ref="N88:N90"/>
    <mergeCell ref="O88:O90"/>
    <mergeCell ref="P88:P89"/>
    <mergeCell ref="Q88:Q89"/>
    <mergeCell ref="R88:R89"/>
    <mergeCell ref="S88:S89"/>
    <mergeCell ref="W88:W89"/>
    <mergeCell ref="L91:L93"/>
    <mergeCell ref="M91:M93"/>
    <mergeCell ref="N91:N93"/>
    <mergeCell ref="O91:O93"/>
    <mergeCell ref="P91:P92"/>
    <mergeCell ref="Q91:Q92"/>
    <mergeCell ref="R91:R92"/>
    <mergeCell ref="S91:S92"/>
    <mergeCell ref="W91:W92"/>
    <mergeCell ref="L94:L98"/>
    <mergeCell ref="M94:M98"/>
    <mergeCell ref="N94:N98"/>
    <mergeCell ref="O94:O98"/>
    <mergeCell ref="P94:P95"/>
    <mergeCell ref="Q94:Q95"/>
    <mergeCell ref="R94:R95"/>
    <mergeCell ref="S94:S95"/>
    <mergeCell ref="W94:W95"/>
    <mergeCell ref="P96:P97"/>
    <mergeCell ref="Q96:Q97"/>
    <mergeCell ref="R96:R97"/>
    <mergeCell ref="S96:S97"/>
    <mergeCell ref="W96:W97"/>
    <mergeCell ref="L99:L101"/>
    <mergeCell ref="M99:M101"/>
    <mergeCell ref="N99:N101"/>
    <mergeCell ref="O99:O101"/>
    <mergeCell ref="P99:P100"/>
    <mergeCell ref="Q99:Q100"/>
    <mergeCell ref="R99:R100"/>
    <mergeCell ref="S99:S100"/>
    <mergeCell ref="W99:W100"/>
    <mergeCell ref="L102:L104"/>
    <mergeCell ref="M102:M104"/>
    <mergeCell ref="N102:N104"/>
    <mergeCell ref="O102:O104"/>
    <mergeCell ref="P102:P103"/>
    <mergeCell ref="Q102:Q103"/>
    <mergeCell ref="R102:R103"/>
    <mergeCell ref="S102:S103"/>
    <mergeCell ref="W102:W103"/>
    <mergeCell ref="L105:L107"/>
    <mergeCell ref="M105:M107"/>
    <mergeCell ref="N105:N107"/>
    <mergeCell ref="O105:O107"/>
    <mergeCell ref="P105:P106"/>
    <mergeCell ref="Q105:Q106"/>
    <mergeCell ref="R105:R106"/>
    <mergeCell ref="S105:S106"/>
    <mergeCell ref="W105:W106"/>
    <mergeCell ref="L108:L110"/>
    <mergeCell ref="M108:M110"/>
    <mergeCell ref="N108:N110"/>
    <mergeCell ref="O108:O110"/>
    <mergeCell ref="P108:P109"/>
    <mergeCell ref="Q108:Q109"/>
    <mergeCell ref="R108:R109"/>
    <mergeCell ref="S108:S109"/>
    <mergeCell ref="W108:W109"/>
    <mergeCell ref="L111:L113"/>
    <mergeCell ref="M111:M113"/>
    <mergeCell ref="N111:N113"/>
    <mergeCell ref="O111:O113"/>
    <mergeCell ref="P111:P112"/>
    <mergeCell ref="Q111:Q112"/>
    <mergeCell ref="R111:R112"/>
    <mergeCell ref="S111:S112"/>
    <mergeCell ref="W111:W112"/>
    <mergeCell ref="L114:L116"/>
    <mergeCell ref="M114:M116"/>
    <mergeCell ref="N114:N116"/>
    <mergeCell ref="O114:O116"/>
    <mergeCell ref="P114:P115"/>
    <mergeCell ref="Q114:Q115"/>
    <mergeCell ref="R114:R115"/>
    <mergeCell ref="S114:S115"/>
    <mergeCell ref="W114:W115"/>
    <mergeCell ref="L117:L119"/>
    <mergeCell ref="M117:M119"/>
    <mergeCell ref="N117:N119"/>
    <mergeCell ref="O117:O119"/>
    <mergeCell ref="P117:P118"/>
    <mergeCell ref="Q117:Q118"/>
    <mergeCell ref="R117:R118"/>
    <mergeCell ref="S117:S118"/>
    <mergeCell ref="W117:W118"/>
    <mergeCell ref="L120:L122"/>
    <mergeCell ref="M120:M122"/>
    <mergeCell ref="N120:N122"/>
    <mergeCell ref="O120:O122"/>
    <mergeCell ref="P120:P121"/>
    <mergeCell ref="Q120:Q121"/>
    <mergeCell ref="R120:R121"/>
    <mergeCell ref="S120:S121"/>
    <mergeCell ref="W120:W121"/>
    <mergeCell ref="L123:L125"/>
    <mergeCell ref="M123:M125"/>
    <mergeCell ref="N123:N125"/>
    <mergeCell ref="O123:O125"/>
    <mergeCell ref="P123:P124"/>
    <mergeCell ref="Q123:Q124"/>
    <mergeCell ref="R123:R124"/>
    <mergeCell ref="S123:S124"/>
    <mergeCell ref="W123:W124"/>
    <mergeCell ref="L126:L128"/>
    <mergeCell ref="M126:M128"/>
    <mergeCell ref="N126:N128"/>
    <mergeCell ref="O126:O128"/>
    <mergeCell ref="P126:P127"/>
    <mergeCell ref="Q126:Q127"/>
    <mergeCell ref="R126:R127"/>
    <mergeCell ref="S126:S127"/>
    <mergeCell ref="W126:W127"/>
    <mergeCell ref="L129:L133"/>
    <mergeCell ref="M129:M133"/>
    <mergeCell ref="N129:N133"/>
    <mergeCell ref="O129:O133"/>
    <mergeCell ref="P129:P130"/>
    <mergeCell ref="Q129:Q130"/>
    <mergeCell ref="R129:R130"/>
    <mergeCell ref="S129:S130"/>
    <mergeCell ref="W129:W130"/>
    <mergeCell ref="P131:P132"/>
    <mergeCell ref="Q131:Q132"/>
    <mergeCell ref="R131:R132"/>
    <mergeCell ref="S131:S132"/>
    <mergeCell ref="W131:W132"/>
  </mergeCells>
  <dataValidations count="336">
    <dataValidation allowBlank="1" showInputMessage="1" showErrorMessage="1" prompt="Для выбора выполните двойной щелчок левой клавиши мыши по соответствующей ячейке." sqref="S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type="textLength" operator="lessThanOrEqual" allowBlank="1" showInputMessage="1" showErrorMessage="1" errorTitle="Ошибка" error="Допускается ввод не более 900 символов!" sqref="J132">
      <formula1>900</formula1>
    </dataValidation>
    <dataValidation allowBlank="1" showInputMessage="1" showErrorMessage="1" prompt="Выберите виды деятельности, выполнив двойной щелчок левой кнопки мыши по ячейке." sqref="G132"/>
    <dataValidation allowBlank="1" showInputMessage="1" showErrorMessage="1" prompt="Для выбора выполните двойной щелчок левой клавиши мыши по соответствующей ячейке." sqref="F132"/>
    <dataValidation type="textLength" operator="lessThanOrEqual" allowBlank="1" showInputMessage="1" showErrorMessage="1" errorTitle="Ошибка" error="Допускается ввод не более 900 символов!" sqref="W131">
      <formula1>900</formula1>
    </dataValidation>
    <dataValidation type="textLength" operator="lessThanOrEqual" allowBlank="1" showInputMessage="1" showErrorMessage="1" errorTitle="Ошибка" error="Допускается ввод не более 900 символов!" sqref="V131">
      <formula1>900</formula1>
    </dataValidation>
    <dataValidation allowBlank="1" showInputMessage="1" showErrorMessage="1" prompt="Для выбора выполните двойной щелчок левой клавиши мыши по соответствующей ячейке." sqref="S131"/>
    <dataValidation type="textLength" operator="lessThanOrEqual" allowBlank="1" showInputMessage="1" showErrorMessage="1" errorTitle="Ошибка" error="Допускается ввод не более 900 символов!" sqref="R131">
      <formula1>900</formula1>
    </dataValidation>
    <dataValidation allowBlank="1" showInputMessage="1" showErrorMessage="1" prompt="Для выбора выполните двойной щелчок левой клавиши мыши по соответствующей ячейке." sqref="O1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type="textLength" operator="lessThanOrEqual" allowBlank="1" showInputMessage="1" showErrorMessage="1" errorTitle="Ошибка" error="Допускается ввод не более 900 символов!" sqref="J131">
      <formula1>900</formula1>
    </dataValidation>
    <dataValidation allowBlank="1" showInputMessage="1" showErrorMessage="1" prompt="Выберите виды деятельности, выполнив двойной щелчок левой кнопки мыши по ячейке." sqref="G131"/>
    <dataValidation allowBlank="1" showInputMessage="1" showErrorMessage="1" prompt="Для выбора выполните двойной щелчок левой клавиши мыши по соответствующей ячейке." sqref="F1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dataValidation allowBlank="1" showInputMessage="1" showErrorMessage="1" prompt="Выберите виды деятельности, выполнив двойной щелчок левой кнопки мыши по ячейке." sqref="G133"/>
    <dataValidation allowBlank="1" showInputMessage="1" showErrorMessage="1" prompt="Для выбора выполните двойной щелчок левой клавиши мыши по соответствующей ячейке." sqref="F133"/>
    <dataValidation allowBlank="1" showInputMessage="1" showErrorMessage="1" prompt="Для выбора выполните двойной щелчок левой клавиши мыши по соответствующей ячейке." sqref="S130"/>
    <dataValidation type="textLength" operator="lessThanOrEqual" allowBlank="1" showInputMessage="1" showErrorMessage="1" errorTitle="Ошибка" error="Допускается ввод не более 900 символов!" sqref="R13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0"/>
    <dataValidation type="textLength" operator="lessThanOrEqual" allowBlank="1" showInputMessage="1" showErrorMessage="1" errorTitle="Ошибка" error="Допускается ввод не более 900 символов!" sqref="J130">
      <formula1>900</formula1>
    </dataValidation>
    <dataValidation allowBlank="1" showInputMessage="1" showErrorMessage="1" prompt="Выберите виды деятельности, выполнив двойной щелчок левой кнопки мыши по ячейке." sqref="G130"/>
    <dataValidation allowBlank="1" showInputMessage="1" showErrorMessage="1" prompt="Для выбора выполните двойной щелчок левой клавиши мыши по соответствующей ячейке." sqref="F130"/>
    <dataValidation type="textLength" operator="lessThanOrEqual" allowBlank="1" showInputMessage="1" showErrorMessage="1" errorTitle="Ошибка" error="Допускается ввод не более 900 символов!" sqref="W129">
      <formula1>900</formula1>
    </dataValidation>
    <dataValidation type="textLength" operator="lessThanOrEqual" allowBlank="1" showInputMessage="1" showErrorMessage="1" errorTitle="Ошибка" error="Допускается ввод не более 900 символов!" sqref="V129">
      <formula1>900</formula1>
    </dataValidation>
    <dataValidation allowBlank="1" showInputMessage="1" showErrorMessage="1" prompt="Для выбора выполните двойной щелчок левой клавиши мыши по соответствующей ячейке." sqref="S129"/>
    <dataValidation type="textLength" operator="lessThanOrEqual" allowBlank="1" showInputMessage="1" showErrorMessage="1" errorTitle="Ошибка" error="Допускается ввод не более 900 символов!" sqref="R129">
      <formula1>900</formula1>
    </dataValidation>
    <dataValidation allowBlank="1" showInputMessage="1" showErrorMessage="1" prompt="Для выбора выполните двойной щелчок левой клавиши мыши по соответствующей ячейке." sqref="O1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9"/>
    <dataValidation type="textLength" operator="lessThanOrEqual" allowBlank="1" showInputMessage="1" showErrorMessage="1" errorTitle="Ошибка" error="Допускается ввод не более 900 символов!" sqref="J129">
      <formula1>900</formula1>
    </dataValidation>
    <dataValidation allowBlank="1" showInputMessage="1" showErrorMessage="1" prompt="Выберите виды деятельности, выполнив двойной щелчок левой кнопки мыши по ячейке." sqref="G129"/>
    <dataValidation allowBlank="1" showInputMessage="1" showErrorMessage="1" prompt="Для выбора выполните двойной щелчок левой клавиши мыши по соответствующей ячейке." sqref="F1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8"/>
    <dataValidation allowBlank="1" showInputMessage="1" showErrorMessage="1" prompt="Выберите виды деятельности, выполнив двойной щелчок левой кнопки мыши по ячейке." sqref="G128"/>
    <dataValidation allowBlank="1" showInputMessage="1" showErrorMessage="1" prompt="Для выбора выполните двойной щелчок левой клавиши мыши по соответствующей ячейке." sqref="F128"/>
    <dataValidation allowBlank="1" showInputMessage="1" showErrorMessage="1" prompt="Для выбора выполните двойной щелчок левой клавиши мыши по соответствующей ячейке." sqref="S127"/>
    <dataValidation type="textLength" operator="lessThanOrEqual" allowBlank="1" showInputMessage="1" showErrorMessage="1" errorTitle="Ошибка" error="Допускается ввод не более 900 символов!" sqref="R12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7"/>
    <dataValidation type="textLength" operator="lessThanOrEqual" allowBlank="1" showInputMessage="1" showErrorMessage="1" errorTitle="Ошибка" error="Допускается ввод не более 900 символов!" sqref="J127">
      <formula1>900</formula1>
    </dataValidation>
    <dataValidation allowBlank="1" showInputMessage="1" showErrorMessage="1" prompt="Выберите виды деятельности, выполнив двойной щелчок левой кнопки мыши по ячейке." sqref="G127"/>
    <dataValidation allowBlank="1" showInputMessage="1" showErrorMessage="1" prompt="Для выбора выполните двойной щелчок левой клавиши мыши по соответствующей ячейке." sqref="F127"/>
    <dataValidation type="textLength" operator="lessThanOrEqual" allowBlank="1" showInputMessage="1" showErrorMessage="1" errorTitle="Ошибка" error="Допускается ввод не более 900 символов!" sqref="W126">
      <formula1>900</formula1>
    </dataValidation>
    <dataValidation type="textLength" operator="lessThanOrEqual" allowBlank="1" showInputMessage="1" showErrorMessage="1" errorTitle="Ошибка" error="Допускается ввод не более 900 символов!" sqref="V126">
      <formula1>900</formula1>
    </dataValidation>
    <dataValidation allowBlank="1" showInputMessage="1" showErrorMessage="1" prompt="Для выбора выполните двойной щелчок левой клавиши мыши по соответствующей ячейке." sqref="S126"/>
    <dataValidation type="textLength" operator="lessThanOrEqual" allowBlank="1" showInputMessage="1" showErrorMessage="1" errorTitle="Ошибка" error="Допускается ввод не более 900 символов!" sqref="R126">
      <formula1>900</formula1>
    </dataValidation>
    <dataValidation allowBlank="1" showInputMessage="1" showErrorMessage="1" prompt="Для выбора выполните двойной щелчок левой клавиши мыши по соответствующей ячейке." sqref="O12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6"/>
    <dataValidation type="textLength" operator="lessThanOrEqual" allowBlank="1" showInputMessage="1" showErrorMessage="1" errorTitle="Ошибка" error="Допускается ввод не более 900 символов!" sqref="J126">
      <formula1>900</formula1>
    </dataValidation>
    <dataValidation allowBlank="1" showInputMessage="1" showErrorMessage="1" prompt="Выберите виды деятельности, выполнив двойной щелчок левой кнопки мыши по ячейке." sqref="G126"/>
    <dataValidation allowBlank="1" showInputMessage="1" showErrorMessage="1" prompt="Для выбора выполните двойной щелчок левой клавиши мыши по соответствующей ячейке." sqref="F12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5"/>
    <dataValidation allowBlank="1" showInputMessage="1" showErrorMessage="1" prompt="Выберите виды деятельности, выполнив двойной щелчок левой кнопки мыши по ячейке." sqref="G125"/>
    <dataValidation allowBlank="1" showInputMessage="1" showErrorMessage="1" prompt="Для выбора выполните двойной щелчок левой клавиши мыши по соответствующей ячейке." sqref="F125"/>
    <dataValidation allowBlank="1" showInputMessage="1" showErrorMessage="1" prompt="Для выбора выполните двойной щелчок левой клавиши мыши по соответствующей ячейке." sqref="S124"/>
    <dataValidation type="textLength" operator="lessThanOrEqual" allowBlank="1" showInputMessage="1" showErrorMessage="1" errorTitle="Ошибка" error="Допускается ввод не более 900 символов!" sqref="R12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4"/>
    <dataValidation type="textLength" operator="lessThanOrEqual" allowBlank="1" showInputMessage="1" showErrorMessage="1" errorTitle="Ошибка" error="Допускается ввод не более 900 символов!" sqref="J124">
      <formula1>900</formula1>
    </dataValidation>
    <dataValidation allowBlank="1" showInputMessage="1" showErrorMessage="1" prompt="Выберите виды деятельности, выполнив двойной щелчок левой кнопки мыши по ячейке." sqref="G124"/>
    <dataValidation allowBlank="1" showInputMessage="1" showErrorMessage="1" prompt="Для выбора выполните двойной щелчок левой клавиши мыши по соответствующей ячейке." sqref="F124"/>
    <dataValidation type="textLength" operator="lessThanOrEqual" allowBlank="1" showInputMessage="1" showErrorMessage="1" errorTitle="Ошибка" error="Допускается ввод не более 900 символов!" sqref="W123">
      <formula1>900</formula1>
    </dataValidation>
    <dataValidation type="textLength" operator="lessThanOrEqual" allowBlank="1" showInputMessage="1" showErrorMessage="1" errorTitle="Ошибка" error="Допускается ввод не более 900 символов!" sqref="V123">
      <formula1>900</formula1>
    </dataValidation>
    <dataValidation allowBlank="1" showInputMessage="1" showErrorMessage="1" prompt="Для выбора выполните двойной щелчок левой клавиши мыши по соответствующей ячейке." sqref="S123"/>
    <dataValidation type="textLength" operator="lessThanOrEqual" allowBlank="1" showInputMessage="1" showErrorMessage="1" errorTitle="Ошибка" error="Допускается ввод не более 900 символов!" sqref="R123">
      <formula1>900</formula1>
    </dataValidation>
    <dataValidation allowBlank="1" showInputMessage="1" showErrorMessage="1" prompt="Для выбора выполните двойной щелчок левой клавиши мыши по соответствующей ячейке." sqref="O1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 type="textLength" operator="lessThanOrEqual" allowBlank="1" showInputMessage="1" showErrorMessage="1" errorTitle="Ошибка" error="Допускается ввод не более 900 символов!" sqref="J123">
      <formula1>900</formula1>
    </dataValidation>
    <dataValidation allowBlank="1" showInputMessage="1" showErrorMessage="1" prompt="Выберите виды деятельности, выполнив двойной щелчок левой кнопки мыши по ячейке." sqref="G123"/>
    <dataValidation allowBlank="1" showInputMessage="1" showErrorMessage="1" prompt="Для выбора выполните двойной щелчок левой клавиши мыши по соответствующей ячейке." sqref="F1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allowBlank="1" showInputMessage="1" showErrorMessage="1" prompt="Выберите виды деятельности, выполнив двойной щелчок левой кнопки мыши по ячейке." sqref="G122"/>
    <dataValidation allowBlank="1" showInputMessage="1" showErrorMessage="1" prompt="Для выбора выполните двойной щелчок левой клавиши мыши по соответствующей ячейке." sqref="F122"/>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Выберите виды деятельности, выполнив двойной щелчок левой кнопки мыши по ячейке." sqref="G121"/>
    <dataValidation allowBlank="1" showInputMessage="1" showErrorMessage="1" prompt="Для выбора выполните двойной щелчок левой клавиши мыши по соответствующей ячейке." sqref="F121"/>
    <dataValidation type="textLength" operator="lessThanOrEqual" allowBlank="1" showInputMessage="1" showErrorMessage="1" errorTitle="Ошибка" error="Допускается ввод не более 900 символов!" sqref="W120">
      <formula1>900</formula1>
    </dataValidation>
    <dataValidation type="textLength" operator="lessThanOrEqual" allowBlank="1" showInputMessage="1" showErrorMessage="1" errorTitle="Ошибка" error="Допускается ввод не более 900 символов!" sqref="V120">
      <formula1>900</formula1>
    </dataValidation>
    <dataValidation allowBlank="1" showInputMessage="1" showErrorMessage="1" prompt="Для выбора выполните двойной щелчок левой клавиши мыши по соответствующей ячейке." sqref="S120"/>
    <dataValidation type="textLength" operator="lessThanOrEqual" allowBlank="1" showInputMessage="1" showErrorMessage="1" errorTitle="Ошибка" error="Допускается ввод не более 900 символов!" sqref="R120">
      <formula1>900</formula1>
    </dataValidation>
    <dataValidation allowBlank="1" showInputMessage="1" showErrorMessage="1" prompt="Для выбора выполните двойной щелчок левой клавиши мыши по соответствующей ячейке." sqref="O12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0"/>
    <dataValidation type="textLength" operator="lessThanOrEqual" allowBlank="1" showInputMessage="1" showErrorMessage="1" errorTitle="Ошибка" error="Допускается ввод не более 900 символов!" sqref="J120">
      <formula1>900</formula1>
    </dataValidation>
    <dataValidation allowBlank="1" showInputMessage="1" showErrorMessage="1" prompt="Выберите виды деятельности, выполнив двойной щелчок левой кнопки мыши по ячейке." sqref="G120"/>
    <dataValidation allowBlank="1" showInputMessage="1" showErrorMessage="1" prompt="Для выбора выполните двойной щелчок левой клавиши мыши по соответствующей ячейке." sqref="F12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9"/>
    <dataValidation allowBlank="1" showInputMessage="1" showErrorMessage="1" prompt="Выберите виды деятельности, выполнив двойной щелчок левой кнопки мыши по ячейке." sqref="G119"/>
    <dataValidation allowBlank="1" showInputMessage="1" showErrorMessage="1" prompt="Для выбора выполните двойной щелчок левой клавиши мыши по соответствующей ячейке." sqref="F119"/>
    <dataValidation allowBlank="1" showInputMessage="1" showErrorMessage="1" prompt="Для выбора выполните двойной щелчок левой клавиши мыши по соответствующей ячейке." sqref="S118"/>
    <dataValidation type="textLength" operator="lessThanOrEqual" allowBlank="1" showInputMessage="1" showErrorMessage="1" errorTitle="Ошибка" error="Допускается ввод не более 900 символов!" sqref="R11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8"/>
    <dataValidation type="textLength" operator="lessThanOrEqual" allowBlank="1" showInputMessage="1" showErrorMessage="1" errorTitle="Ошибка" error="Допускается ввод не более 900 символов!" sqref="J118">
      <formula1>900</formula1>
    </dataValidation>
    <dataValidation allowBlank="1" showInputMessage="1" showErrorMessage="1" prompt="Выберите виды деятельности, выполнив двойной щелчок левой кнопки мыши по ячейке." sqref="G118"/>
    <dataValidation allowBlank="1" showInputMessage="1" showErrorMessage="1" prompt="Для выбора выполните двойной щелчок левой клавиши мыши по соответствующей ячейке." sqref="F118"/>
    <dataValidation type="textLength" operator="lessThanOrEqual" allowBlank="1" showInputMessage="1" showErrorMessage="1" errorTitle="Ошибка" error="Допускается ввод не более 900 символов!" sqref="W117">
      <formula1>900</formula1>
    </dataValidation>
    <dataValidation type="textLength" operator="lessThanOrEqual" allowBlank="1" showInputMessage="1" showErrorMessage="1" errorTitle="Ошибка" error="Допускается ввод не более 900 символов!" sqref="V117">
      <formula1>900</formula1>
    </dataValidation>
    <dataValidation allowBlank="1" showInputMessage="1" showErrorMessage="1" prompt="Для выбора выполните двойной щелчок левой клавиши мыши по соответствующей ячейке." sqref="S117"/>
    <dataValidation type="textLength" operator="lessThanOrEqual" allowBlank="1" showInputMessage="1" showErrorMessage="1" errorTitle="Ошибка" error="Допускается ввод не более 900 символов!" sqref="R117">
      <formula1>900</formula1>
    </dataValidation>
    <dataValidation allowBlank="1" showInputMessage="1" showErrorMessage="1" prompt="Для выбора выполните двойной щелчок левой клавиши мыши по соответствующей ячейке." sqref="O1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type="textLength" operator="lessThanOrEqual" allowBlank="1" showInputMessage="1" showErrorMessage="1" errorTitle="Ошибка" error="Допускается ввод не более 900 символов!" sqref="J117">
      <formula1>900</formula1>
    </dataValidation>
    <dataValidation allowBlank="1" showInputMessage="1" showErrorMessage="1" prompt="Выберите виды деятельности, выполнив двойной щелчок левой кнопки мыши по ячейке." sqref="G117"/>
    <dataValidation allowBlank="1" showInputMessage="1" showErrorMessage="1" prompt="Для выбора выполните двойной щелчок левой клавиши мыши по соответствующей ячейке." sqref="F1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allowBlank="1" showInputMessage="1" showErrorMessage="1" prompt="Выберите виды деятельности, выполнив двойной щелчок левой кнопки мыши по ячейке." sqref="G116"/>
    <dataValidation allowBlank="1" showInputMessage="1" showErrorMessage="1" prompt="Для выбора выполните двойной щелчок левой клавиши мыши по соответствующей ячейке." sqref="F116"/>
    <dataValidation allowBlank="1" showInputMessage="1" showErrorMessage="1" prompt="Для выбора выполните двойной щелчок левой клавиши мыши по соответствующей ячейке." sqref="S115"/>
    <dataValidation type="textLength" operator="lessThanOrEqual" allowBlank="1" showInputMessage="1" showErrorMessage="1" errorTitle="Ошибка" error="Допускается ввод не более 900 символов!" sqref="R11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5"/>
    <dataValidation type="textLength" operator="lessThanOrEqual" allowBlank="1" showInputMessage="1" showErrorMessage="1" errorTitle="Ошибка" error="Допускается ввод не более 900 символов!" sqref="J115">
      <formula1>900</formula1>
    </dataValidation>
    <dataValidation allowBlank="1" showInputMessage="1" showErrorMessage="1" prompt="Выберите виды деятельности, выполнив двойной щелчок левой кнопки мыши по ячейке." sqref="G115"/>
    <dataValidation allowBlank="1" showInputMessage="1" showErrorMessage="1" prompt="Для выбора выполните двойной щелчок левой клавиши мыши по соответствующей ячейке." sqref="F115"/>
    <dataValidation type="textLength" operator="lessThanOrEqual" allowBlank="1" showInputMessage="1" showErrorMessage="1" errorTitle="Ошибка" error="Допускается ввод не более 900 символов!" sqref="W114">
      <formula1>900</formula1>
    </dataValidation>
    <dataValidation type="textLength" operator="lessThanOrEqual" allowBlank="1" showInputMessage="1" showErrorMessage="1" errorTitle="Ошибка" error="Допускается ввод не более 900 символов!" sqref="V114">
      <formula1>900</formula1>
    </dataValidation>
    <dataValidation allowBlank="1" showInputMessage="1" showErrorMessage="1" prompt="Для выбора выполните двойной щелчок левой клавиши мыши по соответствующей ячейке." sqref="S114"/>
    <dataValidation type="textLength" operator="lessThanOrEqual" allowBlank="1" showInputMessage="1" showErrorMessage="1" errorTitle="Ошибка" error="Допускается ввод не более 900 символов!" sqref="R114">
      <formula1>900</formula1>
    </dataValidation>
    <dataValidation allowBlank="1" showInputMessage="1" showErrorMessage="1" prompt="Для выбора выполните двойной щелчок левой клавиши мыши по соответствующей ячейке." sqref="O1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4"/>
    <dataValidation type="textLength" operator="lessThanOrEqual" allowBlank="1" showInputMessage="1" showErrorMessage="1" errorTitle="Ошибка" error="Допускается ввод не более 900 символов!" sqref="J114">
      <formula1>900</formula1>
    </dataValidation>
    <dataValidation allowBlank="1" showInputMessage="1" showErrorMessage="1" prompt="Выберите виды деятельности, выполнив двойной щелчок левой кнопки мыши по ячейке." sqref="G114"/>
    <dataValidation allowBlank="1" showInputMessage="1" showErrorMessage="1" prompt="Для выбора выполните двойной щелчок левой клавиши мыши по соответствующей ячейке." sqref="F1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3"/>
    <dataValidation allowBlank="1" showInputMessage="1" showErrorMessage="1" prompt="Выберите виды деятельности, выполнив двойной щелчок левой кнопки мыши по ячейке." sqref="G113"/>
    <dataValidation allowBlank="1" showInputMessage="1" showErrorMessage="1" prompt="Для выбора выполните двойной щелчок левой клавиши мыши по соответствующей ячейке." sqref="F113"/>
    <dataValidation allowBlank="1" showInputMessage="1" showErrorMessage="1" prompt="Для выбора выполните двойной щелчок левой клавиши мыши по соответствующей ячейке." sqref="S112"/>
    <dataValidation type="textLength" operator="lessThanOrEqual" allowBlank="1" showInputMessage="1" showErrorMessage="1" errorTitle="Ошибка" error="Допускается ввод не более 900 символов!" sqref="R11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2"/>
    <dataValidation type="textLength" operator="lessThanOrEqual" allowBlank="1" showInputMessage="1" showErrorMessage="1" errorTitle="Ошибка" error="Допускается ввод не более 900 символов!" sqref="J112">
      <formula1>900</formula1>
    </dataValidation>
    <dataValidation allowBlank="1" showInputMessage="1" showErrorMessage="1" prompt="Выберите виды деятельности, выполнив двойной щелчок левой кнопки мыши по ячейке." sqref="G112"/>
    <dataValidation allowBlank="1" showInputMessage="1" showErrorMessage="1" prompt="Для выбора выполните двойной щелчок левой клавиши мыши по соответствующей ячейке." sqref="F112"/>
    <dataValidation type="textLength" operator="lessThanOrEqual" allowBlank="1" showInputMessage="1" showErrorMessage="1" errorTitle="Ошибка" error="Допускается ввод не более 900 символов!" sqref="W111">
      <formula1>900</formula1>
    </dataValidation>
    <dataValidation type="textLength" operator="lessThanOrEqual" allowBlank="1" showInputMessage="1" showErrorMessage="1" errorTitle="Ошибка" error="Допускается ввод не более 900 символов!" sqref="V111">
      <formula1>900</formula1>
    </dataValidation>
    <dataValidation allowBlank="1" showInputMessage="1" showErrorMessage="1" prompt="Для выбора выполните двойной щелчок левой клавиши мыши по соответствующей ячейке." sqref="S111"/>
    <dataValidation type="textLength" operator="lessThanOrEqual" allowBlank="1" showInputMessage="1" showErrorMessage="1" errorTitle="Ошибка" error="Допускается ввод не более 900 символов!" sqref="R111">
      <formula1>900</formula1>
    </dataValidation>
    <dataValidation allowBlank="1" showInputMessage="1" showErrorMessage="1" prompt="Для выбора выполните двойной щелчок левой клавиши мыши по соответствующей ячейке." sqref="O11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1"/>
    <dataValidation type="textLength" operator="lessThanOrEqual" allowBlank="1" showInputMessage="1" showErrorMessage="1" errorTitle="Ошибка" error="Допускается ввод не более 900 символов!" sqref="J111">
      <formula1>900</formula1>
    </dataValidation>
    <dataValidation allowBlank="1" showInputMessage="1" showErrorMessage="1" prompt="Выберите виды деятельности, выполнив двойной щелчок левой кнопки мыши по ячейке." sqref="G111"/>
    <dataValidation allowBlank="1" showInputMessage="1" showErrorMessage="1" prompt="Для выбора выполните двойной щелчок левой клавиши мыши по соответствующей ячейке." sqref="F11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0"/>
    <dataValidation allowBlank="1" showInputMessage="1" showErrorMessage="1" prompt="Выберите виды деятельности, выполнив двойной щелчок левой кнопки мыши по ячейке." sqref="G110"/>
    <dataValidation allowBlank="1" showInputMessage="1" showErrorMessage="1" prompt="Для выбора выполните двойной щелчок левой клавиши мыши по соответствующей ячейке." sqref="F110"/>
    <dataValidation allowBlank="1" showInputMessage="1" showErrorMessage="1" prompt="Для выбора выполните двойной щелчок левой клавиши мыши по соответствующей ячейке." sqref="S109"/>
    <dataValidation type="textLength" operator="lessThanOrEqual" allowBlank="1" showInputMessage="1" showErrorMessage="1" errorTitle="Ошибка" error="Допускается ввод не более 900 символов!" sqref="R10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9"/>
    <dataValidation type="textLength" operator="lessThanOrEqual" allowBlank="1" showInputMessage="1" showErrorMessage="1" errorTitle="Ошибка" error="Допускается ввод не более 900 символов!" sqref="J109">
      <formula1>900</formula1>
    </dataValidation>
    <dataValidation allowBlank="1" showInputMessage="1" showErrorMessage="1" prompt="Выберите виды деятельности, выполнив двойной щелчок левой кнопки мыши по ячейке." sqref="G109"/>
    <dataValidation allowBlank="1" showInputMessage="1" showErrorMessage="1" prompt="Для выбора выполните двойной щелчок левой клавиши мыши по соответствующей ячейке." sqref="F109"/>
    <dataValidation type="textLength" operator="lessThanOrEqual" allowBlank="1" showInputMessage="1" showErrorMessage="1" errorTitle="Ошибка" error="Допускается ввод не более 900 символов!" sqref="W108">
      <formula1>900</formula1>
    </dataValidation>
    <dataValidation type="textLength" operator="lessThanOrEqual" allowBlank="1" showInputMessage="1" showErrorMessage="1" errorTitle="Ошибка" error="Допускается ввод не более 900 символов!" sqref="V108">
      <formula1>900</formula1>
    </dataValidation>
    <dataValidation allowBlank="1" showInputMessage="1" showErrorMessage="1" prompt="Для выбора выполните двойной щелчок левой клавиши мыши по соответствующей ячейке." sqref="S108"/>
    <dataValidation type="textLength" operator="lessThanOrEqual" allowBlank="1" showInputMessage="1" showErrorMessage="1" errorTitle="Ошибка" error="Допускается ввод не более 900 символов!" sqref="R108">
      <formula1>900</formula1>
    </dataValidation>
    <dataValidation allowBlank="1" showInputMessage="1" showErrorMessage="1" prompt="Для выбора выполните двойной щелчок левой клавиши мыши по соответствующей ячейке." sqref="O10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 type="textLength" operator="lessThanOrEqual" allowBlank="1" showInputMessage="1" showErrorMessage="1" errorTitle="Ошибка" error="Допускается ввод не более 900 символов!" sqref="J108">
      <formula1>900</formula1>
    </dataValidation>
    <dataValidation allowBlank="1" showInputMessage="1" showErrorMessage="1" prompt="Выберите виды деятельности, выполнив двойной щелчок левой кнопки мыши по ячейке." sqref="G108"/>
    <dataValidation allowBlank="1" showInputMessage="1" showErrorMessage="1" prompt="Для выбора выполните двойной щелчок левой клавиши мыши по соответствующей ячейке." sqref="F10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Выберите виды деятельности, выполнив двойной щелчок левой кнопки мыши по ячейке." sqref="G107"/>
    <dataValidation allowBlank="1" showInputMessage="1" showErrorMessage="1" prompt="Для выбора выполните двойной щелчок левой клавиши мыши по соответствующей ячейке." sqref="F107"/>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Выберите виды деятельности, выполнив двойной щелчок левой кнопки мыши по ячейке." sqref="G106"/>
    <dataValidation allowBlank="1" showInputMessage="1" showErrorMessage="1" prompt="Для выбора выполните двойной щелчок левой клавиши мыши по соответствующей ячейке." sqref="F106"/>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V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O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Выберите виды деятельности, выполнив двойной щелчок левой кнопки мыши по ячейке." sqref="G105"/>
    <dataValidation allowBlank="1" showInputMessage="1" showErrorMessage="1" prompt="Для выбора выполните двойной щелчок левой клавиши мыши по соответствующей ячейке." sqref="F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4"/>
    <dataValidation allowBlank="1" showInputMessage="1" showErrorMessage="1" prompt="Выберите виды деятельности, выполнив двойной щелчок левой кнопки мыши по ячейке." sqref="G104"/>
    <dataValidation allowBlank="1" showInputMessage="1" showErrorMessage="1" prompt="Для выбора выполните двойной щелчок левой клавиши мыши по соответствующей ячейке." sqref="F104"/>
    <dataValidation allowBlank="1" showInputMessage="1" showErrorMessage="1" prompt="Для выбора выполните двойной щелчок левой клавиши мыши по соответствующей ячейке." sqref="S103"/>
    <dataValidation type="textLength" operator="lessThanOrEqual" allowBlank="1" showInputMessage="1" showErrorMessage="1" errorTitle="Ошибка" error="Допускается ввод не более 900 символов!" sqref="R10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3"/>
    <dataValidation type="textLength" operator="lessThanOrEqual" allowBlank="1" showInputMessage="1" showErrorMessage="1" errorTitle="Ошибка" error="Допускается ввод не более 900 символов!" sqref="J103">
      <formula1>900</formula1>
    </dataValidation>
    <dataValidation allowBlank="1" showInputMessage="1" showErrorMessage="1" prompt="Выберите виды деятельности, выполнив двойной щелчок левой кнопки мыши по ячейке." sqref="G103"/>
    <dataValidation allowBlank="1" showInputMessage="1" showErrorMessage="1" prompt="Для выбора выполните двойной щелчок левой клавиши мыши по соответствующей ячейке." sqref="F103"/>
    <dataValidation type="textLength" operator="lessThanOrEqual" allowBlank="1" showInputMessage="1" showErrorMessage="1" errorTitle="Ошибка" error="Допускается ввод не более 900 символов!" sqref="W102">
      <formula1>900</formula1>
    </dataValidation>
    <dataValidation type="textLength" operator="lessThanOrEqual" allowBlank="1" showInputMessage="1" showErrorMessage="1" errorTitle="Ошибка" error="Допускается ввод не более 900 символов!" sqref="V102">
      <formula1>900</formula1>
    </dataValidation>
    <dataValidation allowBlank="1" showInputMessage="1" showErrorMessage="1" prompt="Для выбора выполните двойной щелчок левой клавиши мыши по соответствующей ячейке." sqref="S102"/>
    <dataValidation type="textLength" operator="lessThanOrEqual" allowBlank="1" showInputMessage="1" showErrorMessage="1" errorTitle="Ошибка" error="Допускается ввод не более 900 символов!" sqref="R102">
      <formula1>900</formula1>
    </dataValidation>
    <dataValidation allowBlank="1" showInputMessage="1" showErrorMessage="1" prompt="Для выбора выполните двойной щелчок левой клавиши мыши по соответствующей ячейке." sqref="O10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2"/>
    <dataValidation type="textLength" operator="lessThanOrEqual" allowBlank="1" showInputMessage="1" showErrorMessage="1" errorTitle="Ошибка" error="Допускается ввод не более 900 символов!" sqref="J102">
      <formula1>900</formula1>
    </dataValidation>
    <dataValidation allowBlank="1" showInputMessage="1" showErrorMessage="1" prompt="Выберите виды деятельности, выполнив двойной щелчок левой кнопки мыши по ячейке." sqref="G102"/>
    <dataValidation allowBlank="1" showInputMessage="1" showErrorMessage="1" prompt="Для выбора выполните двойной щелчок левой клавиши мыши по соответствующей ячейке." sqref="F10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allowBlank="1" showInputMessage="1" showErrorMessage="1" prompt="Выберите виды деятельности, выполнив двойной щелчок левой кнопки мыши по ячейке." sqref="G101"/>
    <dataValidation allowBlank="1" showInputMessage="1" showErrorMessage="1" prompt="Для выбора выполните двойной щелчок левой клавиши мыши по соответствующей ячейке." sqref="F101"/>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Выберите виды деятельности, выполнив двойной щелчок левой кнопки мыши по ячейке." sqref="G100"/>
    <dataValidation allowBlank="1" showInputMessage="1" showErrorMessage="1" prompt="Для выбора выполните двойной щелчок левой клавиши мыши по соответствующей ячейке." sqref="F100"/>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V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O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Выберите виды деятельности, выполнив двойной щелчок левой кнопки мыши по ячейке." sqref="G99"/>
    <dataValidation allowBlank="1" showInputMessage="1" showErrorMessage="1" prompt="Для выбора выполните двойной щелчок левой клавиши мыши по соответствующей ячейке." sqref="F99"/>
    <dataValidation allowBlank="1" showInputMessage="1" showErrorMessage="1" prompt="Для выбора выполните двойной щелчок левой клавиши мыши по соответствующей ячейке." sqref="S97"/>
    <dataValidation type="textLength" operator="lessThanOrEqual" allowBlank="1" showInputMessage="1" showErrorMessage="1" errorTitle="Ошибка" error="Допускается ввод не более 900 символов!" sqref="R9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7"/>
    <dataValidation type="textLength" operator="lessThanOrEqual" allowBlank="1" showInputMessage="1" showErrorMessage="1" errorTitle="Ошибка" error="Допускается ввод не более 900 символов!" sqref="J97">
      <formula1>900</formula1>
    </dataValidation>
    <dataValidation allowBlank="1" showInputMessage="1" showErrorMessage="1" prompt="Выберите виды деятельности, выполнив двойной щелчок левой кнопки мыши по ячейке." sqref="G97"/>
    <dataValidation allowBlank="1" showInputMessage="1" showErrorMessage="1" prompt="Для выбора выполните двойной щелчок левой клавиши мыши по соответствующей ячейке." sqref="F97"/>
    <dataValidation type="textLength" operator="lessThanOrEqual" allowBlank="1" showInputMessage="1" showErrorMessage="1" errorTitle="Ошибка" error="Допускается ввод не более 900 символов!" sqref="W96">
      <formula1>900</formula1>
    </dataValidation>
    <dataValidation type="textLength" operator="lessThanOrEqual" allowBlank="1" showInputMessage="1" showErrorMessage="1" errorTitle="Ошибка" error="Допускается ввод не более 900 символов!" sqref="V96">
      <formula1>900</formula1>
    </dataValidation>
    <dataValidation allowBlank="1" showInputMessage="1" showErrorMessage="1" prompt="Для выбора выполните двойной щелчок левой клавиши мыши по соответствующей ячейке." sqref="S96"/>
    <dataValidation type="textLength" operator="lessThanOrEqual" allowBlank="1" showInputMessage="1" showErrorMessage="1" errorTitle="Ошибка" error="Допускается ввод не более 900 символов!" sqref="R96">
      <formula1>900</formula1>
    </dataValidation>
    <dataValidation allowBlank="1" showInputMessage="1" showErrorMessage="1" prompt="Для выбора выполните двойной щелчок левой клавиши мыши по соответствующей ячейке." sqref="O9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6"/>
    <dataValidation type="textLength" operator="lessThanOrEqual" allowBlank="1" showInputMessage="1" showErrorMessage="1" errorTitle="Ошибка" error="Допускается ввод не более 900 символов!" sqref="J96">
      <formula1>900</formula1>
    </dataValidation>
    <dataValidation allowBlank="1" showInputMessage="1" showErrorMessage="1" prompt="Выберите виды деятельности, выполнив двойной щелчок левой кнопки мыши по ячейке." sqref="G96"/>
    <dataValidation allowBlank="1" showInputMessage="1" showErrorMessage="1" prompt="Для выбора выполните двойной щелчок левой клавиши мыши по соответствующей ячейке." sqref="F9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8"/>
    <dataValidation allowBlank="1" showInputMessage="1" showErrorMessage="1" prompt="Выберите виды деятельности, выполнив двойной щелчок левой кнопки мыши по ячейке." sqref="G98"/>
    <dataValidation allowBlank="1" showInputMessage="1" showErrorMessage="1" prompt="Для выбора выполните двойной щелчок левой клавиши мыши по соответствующей ячейке." sqref="F98"/>
    <dataValidation allowBlank="1" showInputMessage="1" showErrorMessage="1" prompt="Для выбора выполните двойной щелчок левой клавиши мыши по соответствующей ячейке." sqref="S95"/>
    <dataValidation type="textLength" operator="lessThanOrEqual" allowBlank="1" showInputMessage="1" showErrorMessage="1" errorTitle="Ошибка" error="Допускается ввод не более 900 символов!" sqref="R9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5"/>
    <dataValidation type="textLength" operator="lessThanOrEqual" allowBlank="1" showInputMessage="1" showErrorMessage="1" errorTitle="Ошибка" error="Допускается ввод не более 900 символов!" sqref="J95">
      <formula1>900</formula1>
    </dataValidation>
    <dataValidation allowBlank="1" showInputMessage="1" showErrorMessage="1" prompt="Выберите виды деятельности, выполнив двойной щелчок левой кнопки мыши по ячейке." sqref="G95"/>
    <dataValidation allowBlank="1" showInputMessage="1" showErrorMessage="1" prompt="Для выбора выполните двойной щелчок левой клавиши мыши по соответствующей ячейке." sqref="F95"/>
    <dataValidation type="textLength" operator="lessThanOrEqual" allowBlank="1" showInputMessage="1" showErrorMessage="1" errorTitle="Ошибка" error="Допускается ввод не более 900 символов!" sqref="W94">
      <formula1>900</formula1>
    </dataValidation>
    <dataValidation type="textLength" operator="lessThanOrEqual" allowBlank="1" showInputMessage="1" showErrorMessage="1" errorTitle="Ошибка" error="Допускается ввод не более 900 символов!" sqref="V94">
      <formula1>900</formula1>
    </dataValidation>
    <dataValidation allowBlank="1" showInputMessage="1" showErrorMessage="1" prompt="Для выбора выполните двойной щелчок левой клавиши мыши по соответствующей ячейке." sqref="S94"/>
    <dataValidation type="textLength" operator="lessThanOrEqual" allowBlank="1" showInputMessage="1" showErrorMessage="1" errorTitle="Ошибка" error="Допускается ввод не более 900 символов!" sqref="R94">
      <formula1>900</formula1>
    </dataValidation>
    <dataValidation allowBlank="1" showInputMessage="1" showErrorMessage="1" prompt="Для выбора выполните двойной щелчок левой клавиши мыши по соответствующей ячейке." sqref="O9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4"/>
    <dataValidation type="textLength" operator="lessThanOrEqual" allowBlank="1" showInputMessage="1" showErrorMessage="1" errorTitle="Ошибка" error="Допускается ввод не более 900 символов!" sqref="J94">
      <formula1>900</formula1>
    </dataValidation>
    <dataValidation allowBlank="1" showInputMessage="1" showErrorMessage="1" prompt="Выберите виды деятельности, выполнив двойной щелчок левой кнопки мыши по ячейке." sqref="G94"/>
    <dataValidation allowBlank="1" showInputMessage="1" showErrorMessage="1" prompt="Для выбора выполните двойной щелчок левой клавиши мыши по соответствующей ячейке." sqref="F9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3"/>
    <dataValidation allowBlank="1" showInputMessage="1" showErrorMessage="1" prompt="Выберите виды деятельности, выполнив двойной щелчок левой кнопки мыши по ячейке." sqref="G93"/>
    <dataValidation allowBlank="1" showInputMessage="1" showErrorMessage="1" prompt="Для выбора выполните двойной щелчок левой клавиши мыши по соответствующей ячейке." sqref="F93"/>
    <dataValidation allowBlank="1" showInputMessage="1" showErrorMessage="1" prompt="Для выбора выполните двойной щелчок левой клавиши мыши по соответствующей ячейке." sqref="S92"/>
    <dataValidation type="textLength" operator="lessThanOrEqual" allowBlank="1" showInputMessage="1" showErrorMessage="1" errorTitle="Ошибка" error="Допускается ввод не более 900 символов!" sqref="R9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2"/>
    <dataValidation type="textLength" operator="lessThanOrEqual" allowBlank="1" showInputMessage="1" showErrorMessage="1" errorTitle="Ошибка" error="Допускается ввод не более 900 символов!" sqref="J92">
      <formula1>900</formula1>
    </dataValidation>
    <dataValidation allowBlank="1" showInputMessage="1" showErrorMessage="1" prompt="Выберите виды деятельности, выполнив двойной щелчок левой кнопки мыши по ячейке." sqref="G92"/>
    <dataValidation allowBlank="1" showInputMessage="1" showErrorMessage="1" prompt="Для выбора выполните двойной щелчок левой клавиши мыши по соответствующей ячейке." sqref="F92"/>
    <dataValidation type="textLength" operator="lessThanOrEqual" allowBlank="1" showInputMessage="1" showErrorMessage="1" errorTitle="Ошибка" error="Допускается ввод не более 900 символов!" sqref="W91">
      <formula1>900</formula1>
    </dataValidation>
    <dataValidation type="textLength" operator="lessThanOrEqual" allowBlank="1" showInputMessage="1" showErrorMessage="1" errorTitle="Ошибка" error="Допускается ввод не более 900 символов!" sqref="V91">
      <formula1>900</formula1>
    </dataValidation>
    <dataValidation allowBlank="1" showInputMessage="1" showErrorMessage="1" prompt="Для выбора выполните двойной щелчок левой клавиши мыши по соответствующей ячейке." sqref="S91"/>
    <dataValidation type="textLength" operator="lessThanOrEqual" allowBlank="1" showInputMessage="1" showErrorMessage="1" errorTitle="Ошибка" error="Допускается ввод не более 900 символов!" sqref="R91">
      <formula1>900</formula1>
    </dataValidation>
    <dataValidation allowBlank="1" showInputMessage="1" showErrorMessage="1" prompt="Для выбора выполните двойной щелчок левой клавиши мыши по соответствующей ячейке." sqref="O9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1"/>
    <dataValidation type="textLength" operator="lessThanOrEqual" allowBlank="1" showInputMessage="1" showErrorMessage="1" errorTitle="Ошибка" error="Допускается ввод не более 900 символов!" sqref="J91">
      <formula1>900</formula1>
    </dataValidation>
    <dataValidation allowBlank="1" showInputMessage="1" showErrorMessage="1" prompt="Выберите виды деятельности, выполнив двойной щелчок левой кнопки мыши по ячейке." sqref="G91"/>
    <dataValidation allowBlank="1" showInputMessage="1" showErrorMessage="1" prompt="Для выбора выполните двойной щелчок левой клавиши мыши по соответствующей ячейке." sqref="F9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0"/>
    <dataValidation allowBlank="1" showInputMessage="1" showErrorMessage="1" prompt="Выберите виды деятельности, выполнив двойной щелчок левой кнопки мыши по ячейке." sqref="G90"/>
    <dataValidation allowBlank="1" showInputMessage="1" showErrorMessage="1" prompt="Для выбора выполните двойной щелчок левой клавиши мыши по соответствующей ячейке." sqref="F90"/>
    <dataValidation allowBlank="1" showInputMessage="1" showErrorMessage="1" prompt="Для выбора выполните двойной щелчок левой клавиши мыши по соответствующей ячейке." sqref="S89"/>
    <dataValidation type="textLength" operator="lessThanOrEqual" allowBlank="1" showInputMessage="1" showErrorMessage="1" errorTitle="Ошибка" error="Допускается ввод не более 900 символов!" sqref="R8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9"/>
    <dataValidation type="textLength" operator="lessThanOrEqual" allowBlank="1" showInputMessage="1" showErrorMessage="1" errorTitle="Ошибка" error="Допускается ввод не более 900 символов!" sqref="J89">
      <formula1>900</formula1>
    </dataValidation>
    <dataValidation allowBlank="1" showInputMessage="1" showErrorMessage="1" prompt="Выберите виды деятельности, выполнив двойной щелчок левой кнопки мыши по ячейке." sqref="G89"/>
    <dataValidation allowBlank="1" showInputMessage="1" showErrorMessage="1" prompt="Для выбора выполните двойной щелчок левой клавиши мыши по соответствующей ячейке." sqref="F89"/>
    <dataValidation type="textLength" operator="lessThanOrEqual" allowBlank="1" showInputMessage="1" showErrorMessage="1" errorTitle="Ошибка" error="Допускается ввод не более 900 символов!" sqref="W88">
      <formula1>900</formula1>
    </dataValidation>
    <dataValidation type="textLength" operator="lessThanOrEqual" allowBlank="1" showInputMessage="1" showErrorMessage="1" errorTitle="Ошибка" error="Допускается ввод не более 900 символов!" sqref="V88">
      <formula1>900</formula1>
    </dataValidation>
    <dataValidation allowBlank="1" showInputMessage="1" showErrorMessage="1" prompt="Для выбора выполните двойной щелчок левой клавиши мыши по соответствующей ячейке." sqref="S88"/>
    <dataValidation type="textLength" operator="lessThanOrEqual" allowBlank="1" showInputMessage="1" showErrorMessage="1" errorTitle="Ошибка" error="Допускается ввод не более 900 символов!" sqref="R88">
      <formula1>900</formula1>
    </dataValidation>
    <dataValidation allowBlank="1" showInputMessage="1" showErrorMessage="1" prompt="Для выбора выполните двойной щелчок левой клавиши мыши по соответствующей ячейке." sqref="O8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8"/>
    <dataValidation type="textLength" operator="lessThanOrEqual" allowBlank="1" showInputMessage="1" showErrorMessage="1" errorTitle="Ошибка" error="Допускается ввод не более 900 символов!" sqref="J88">
      <formula1>900</formula1>
    </dataValidation>
    <dataValidation allowBlank="1" showInputMessage="1" showErrorMessage="1" prompt="Выберите виды деятельности, выполнив двойной щелчок левой кнопки мыши по ячейке." sqref="G88"/>
    <dataValidation allowBlank="1" showInputMessage="1" showErrorMessage="1" prompt="Для выбора выполните двойной щелчок левой клавиши мыши по соответствующей ячейке." sqref="F8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7"/>
    <dataValidation allowBlank="1" showInputMessage="1" showErrorMessage="1" prompt="Выберите виды деятельности, выполнив двойной щелчок левой кнопки мыши по ячейке." sqref="G87"/>
    <dataValidation allowBlank="1" showInputMessage="1" showErrorMessage="1" prompt="Для выбора выполните двойной щелчок левой клавиши мыши по соответствующей ячейке." sqref="F87"/>
    <dataValidation allowBlank="1" showInputMessage="1" showErrorMessage="1" prompt="Для выбора выполните двойной щелчок левой клавиши мыши по соответствующей ячейке." sqref="S86"/>
    <dataValidation type="textLength" operator="lessThanOrEqual" allowBlank="1" showInputMessage="1" showErrorMessage="1" errorTitle="Ошибка" error="Допускается ввод не более 900 символов!" sqref="R8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 type="textLength" operator="lessThanOrEqual" allowBlank="1" showInputMessage="1" showErrorMessage="1" errorTitle="Ошибка" error="Допускается ввод не более 900 символов!" sqref="J86">
      <formula1>900</formula1>
    </dataValidation>
    <dataValidation allowBlank="1" showInputMessage="1" showErrorMessage="1" prompt="Выберите виды деятельности, выполнив двойной щелчок левой кнопки мыши по ячейке." sqref="G86"/>
    <dataValidation allowBlank="1" showInputMessage="1" showErrorMessage="1" prompt="Для выбора выполните двойной щелчок левой клавиши мыши по соответствующей ячейке." sqref="F86"/>
    <dataValidation type="textLength" operator="lessThanOrEqual" allowBlank="1" showInputMessage="1" showErrorMessage="1" errorTitle="Ошибка" error="Допускается ввод не более 900 символов!" sqref="W85">
      <formula1>900</formula1>
    </dataValidation>
    <dataValidation type="textLength" operator="lessThanOrEqual" allowBlank="1" showInputMessage="1" showErrorMessage="1" errorTitle="Ошибка" error="Допускается ввод не более 900 символов!" sqref="V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O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Выберите виды деятельности, выполнив двойной щелчок левой кнопки мыши по ячейке." sqref="G85"/>
    <dataValidation allowBlank="1" showInputMessage="1" showErrorMessage="1" prompt="Для выбора выполните двойной щелчок левой клавиши мыши по соответствующей ячейке." sqref="F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Выберите виды деятельности, выполнив двойной щелчок левой кнопки мыши по ячейке." sqref="G84"/>
    <dataValidation allowBlank="1" showInputMessage="1" showErrorMessage="1" prompt="Для выбора выполните двойной щелчок левой клавиши мыши по соответствующей ячейке." sqref="F84"/>
    <dataValidation allowBlank="1" showInputMessage="1" showErrorMessage="1" prompt="Для выбора выполните двойной щелчок левой клавиши мыши по соответствующей ячейке." sqref="S83"/>
    <dataValidation type="textLength" operator="lessThanOrEqual" allowBlank="1" showInputMessage="1" showErrorMessage="1" errorTitle="Ошибка" error="Допускается ввод не более 900 символов!" sqref="R8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3"/>
    <dataValidation type="textLength" operator="lessThanOrEqual" allowBlank="1" showInputMessage="1" showErrorMessage="1" errorTitle="Ошибка" error="Допускается ввод не более 900 символов!" sqref="J83">
      <formula1>900</formula1>
    </dataValidation>
    <dataValidation allowBlank="1" showInputMessage="1" showErrorMessage="1" prompt="Выберите виды деятельности, выполнив двойной щелчок левой кнопки мыши по ячейке." sqref="G83"/>
    <dataValidation allowBlank="1" showInputMessage="1" showErrorMessage="1" prompt="Для выбора выполните двойной щелчок левой клавиши мыши по соответствующей ячейке." sqref="F83"/>
    <dataValidation type="textLength" operator="lessThanOrEqual" allowBlank="1" showInputMessage="1" showErrorMessage="1" errorTitle="Ошибка" error="Допускается ввод не более 900 символов!" sqref="W82">
      <formula1>900</formula1>
    </dataValidation>
    <dataValidation type="textLength" operator="lessThanOrEqual" allowBlank="1" showInputMessage="1" showErrorMessage="1" errorTitle="Ошибка" error="Допускается ввод не более 900 символов!" sqref="V82">
      <formula1>900</formula1>
    </dataValidation>
    <dataValidation allowBlank="1" showInputMessage="1" showErrorMessage="1" prompt="Для выбора выполните двойной щелчок левой клавиши мыши по соответствующей ячейке." sqref="S82"/>
    <dataValidation type="textLength" operator="lessThanOrEqual" allowBlank="1" showInputMessage="1" showErrorMessage="1" errorTitle="Ошибка" error="Допускается ввод не более 900 символов!" sqref="R82">
      <formula1>900</formula1>
    </dataValidation>
    <dataValidation allowBlank="1" showInputMessage="1" showErrorMessage="1" prompt="Для выбора выполните двойной щелчок левой клавиши мыши по соответствующей ячейке." sqref="O8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2"/>
    <dataValidation type="textLength" operator="lessThanOrEqual" allowBlank="1" showInputMessage="1" showErrorMessage="1" errorTitle="Ошибка" error="Допускается ввод не более 900 символов!" sqref="J82">
      <formula1>900</formula1>
    </dataValidation>
    <dataValidation allowBlank="1" showInputMessage="1" showErrorMessage="1" prompt="Выберите виды деятельности, выполнив двойной щелчок левой кнопки мыши по ячейке." sqref="G82"/>
    <dataValidation allowBlank="1" showInputMessage="1" showErrorMessage="1" prompt="Для выбора выполните двойной щелчок левой клавиши мыши по соответствующей ячейке." sqref="F8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J80">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V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O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K79"/>
    <dataValidation type="textLength" operator="lessThanOrEqual" allowBlank="1" showInputMessage="1" showErrorMessage="1" errorTitle="Ошибка" error="Допускается ввод не более 900 символов!" sqref="J79">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57:G171 G173:G187 G79:G81 G134:G155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146:N148 N136:N138 N141:N143 N53:N55 N157:N159 N162:N164 N178:N180 N173:N175 N58:N60 N63:N65 N151:N153 N167:N169 N183:N185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136:J137 R136:R137 V136:W136 J146:J147 R146:R147 V146:W146 J141:J142 R141:R142 V141:W141 J53:J54 R53:R54 V53:W53 J157:J158 R157:R158 V157:W157 J162:J163 R162:R163 V162:W162 J178:J179 R178:R179 V178:W178 J173:J174 R173:R174 V173:W173 J58:J59 R58:R59 V58:W58 J63:J64 R63:R64 V63:W63 J151:J152 R151:R152 V151:W151 J167:J168 R167:R168 V167:W167 J183:J184 R183:R184 V183:W183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136:K137 O136:O137 S136:S137 K146:K147 O146:O147 S146:S147 K141:K142 O141:O142 S53:S54 S141:S142 K53:K54 O53:O54 O183:O184 O157:O158 S157:S158 O162:O163 S162:S163 K157:K158 K162:K163 S151:S152 K178:K179 O178:O179 K173:K174 O173:O174 S178:S179 O167:O168 S173:S174 O58:O59 S58:S59 K58:K59 K63:K64 O63:O64 S63:S64 F79:F81 F134:F155 K151:K152 O151:O152 F157:F171 S167:S168 K167:K168 F173:F187 S183:S184 K183:K184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071964-D07C-CA1A-F5B8-6ECB503C3C79}"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8415" width="9.140625" hidden="1"/>
    <col min="3" max="4" style="8415" width="3.00390625" customWidth="1"/>
    <col min="5" max="6" style="8415" width="15.00390625" customWidth="1"/>
    <col min="7" max="7" style="8415" width="11.57421875" customWidth="1"/>
    <col min="8" max="9" style="8415" width="3.00390625" customWidth="1"/>
    <col min="10" max="10" style="8415" width="12.00390625" customWidth="1"/>
    <col min="11" max="11" style="8415" width="0.28125" customWidth="1"/>
    <col min="12" max="13" style="8415" width="10.00390625" customWidth="1"/>
    <col min="14" max="15" style="8415" width="3.00390625" customWidth="1"/>
    <col min="16" max="16" style="8415" width="19.00390625" customWidth="1"/>
    <col min="17" max="17" style="8415" width="0.28125" customWidth="1"/>
    <col min="18" max="19" style="8415" width="10.00390625" customWidth="1"/>
    <col min="20" max="21" style="8415" width="3.00390625" customWidth="1"/>
    <col min="22" max="22" style="8415" width="25.00390625" customWidth="1"/>
    <col min="23" max="23" style="8415" width="0.28125" customWidth="1"/>
    <col min="24" max="25" style="8415" width="10.00390625" customWidth="1"/>
    <col min="26" max="27" style="8415" width="3.00390625" customWidth="1"/>
    <col min="28" max="28" style="8415" width="16.00390625" customWidth="1"/>
    <col min="29" max="29" style="8415" width="0.28125" customWidth="1"/>
    <col min="30" max="31" style="8415" width="10.00390625" customWidth="1"/>
    <col min="32" max="33" style="8415" width="3.00390625" customWidth="1"/>
    <col min="34" max="34" style="8415" width="8.00390625" customWidth="1"/>
    <col min="35" max="35" style="8415" width="21.00390625" customWidth="1"/>
    <col min="36" max="36" style="8415" width="8.00390625" customWidth="1"/>
    <col min="37" max="37" style="8829" width="8.00390625" customWidth="1"/>
    <col min="38" max="64" style="8415" width="8.00390625" customWidth="1"/>
    <col min="65" max="65" style="8415" width="9.140625" hidden="1"/>
  </cols>
  <sheetData>
    <row s="8755"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8756" customFormat="1" customHeight="1" ht="11.25" hidden="1">
      <c r="L2" s="1666" t="s">
        <v>407</v>
      </c>
      <c r="M2" s="1666" t="s">
        <v>408</v>
      </c>
      <c r="R2" s="1666" t="s">
        <v>409</v>
      </c>
      <c r="S2" s="1666" t="s">
        <v>408</v>
      </c>
      <c r="X2" s="1666" t="s">
        <v>407</v>
      </c>
      <c r="Y2" s="1666" t="s">
        <v>408</v>
      </c>
      <c r="AD2" s="1666" t="s">
        <v>407</v>
      </c>
      <c r="AE2" s="1666" t="s">
        <v>408</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8759"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8370" customFormat="1" customHeight="1" ht="34.5">
      <c r="A4" s="1269"/>
      <c r="B4" s="1268"/>
      <c r="C4" s="1628"/>
      <c r="D4" s="2304" t="s">
        <v>410</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8370" customFormat="1" customHeight="1" ht="14.699999999999998">
      <c r="A5" s="1745"/>
      <c r="B5" s="1744"/>
      <c r="C5" s="1628"/>
      <c r="D5" s="2289" t="str">
        <f>IF(org=0,"Не определено",org)</f>
        <v>МУП ЖКХ "Родник"</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8370"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8755"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88</v>
      </c>
      <c r="E8" s="2240" t="s">
        <v>183</v>
      </c>
      <c r="F8" s="2305" t="s">
        <v>197</v>
      </c>
      <c r="G8" s="2306"/>
      <c r="H8" s="2305" t="s">
        <v>88</v>
      </c>
      <c r="I8" s="2306"/>
      <c r="J8" s="2240" t="s">
        <v>198</v>
      </c>
      <c r="K8" s="1669"/>
      <c r="L8" s="2309" t="s">
        <v>411</v>
      </c>
      <c r="M8" s="2309"/>
      <c r="N8" s="2309"/>
      <c r="O8" s="2309"/>
      <c r="P8" s="2309"/>
      <c r="Q8" s="1670"/>
      <c r="R8" s="2209" t="s">
        <v>412</v>
      </c>
      <c r="S8" s="2310"/>
      <c r="T8" s="2310"/>
      <c r="U8" s="2310"/>
      <c r="V8" s="2310"/>
      <c r="W8" s="1670"/>
      <c r="X8" s="2311" t="s">
        <v>413</v>
      </c>
      <c r="Y8" s="2311"/>
      <c r="Z8" s="2311"/>
      <c r="AA8" s="2311"/>
      <c r="AB8" s="2311"/>
      <c r="AC8" s="1671"/>
      <c r="AD8" s="2240" t="s">
        <v>414</v>
      </c>
      <c r="AE8" s="2240"/>
      <c r="AF8" s="2240"/>
      <c r="AG8" s="2240"/>
      <c r="AH8" s="2214"/>
      <c r="AI8" s="2240" t="s">
        <v>415</v>
      </c>
      <c r="AJ8" s="1687"/>
      <c r="BM8" s="406">
        <v>32</v>
      </c>
    </row>
    <row customHeight="1" ht="23.25">
      <c r="D9" s="2240"/>
      <c r="E9" s="2240"/>
      <c r="F9" s="2288" t="s">
        <v>89</v>
      </c>
      <c r="G9" s="2288" t="s">
        <v>203</v>
      </c>
      <c r="H9" s="2307"/>
      <c r="I9" s="2308"/>
      <c r="J9" s="2214"/>
      <c r="K9" s="1672"/>
      <c r="L9" s="2240" t="s">
        <v>416</v>
      </c>
      <c r="M9" s="2214"/>
      <c r="N9" s="2305" t="s">
        <v>88</v>
      </c>
      <c r="O9" s="2306"/>
      <c r="P9" s="2240" t="s">
        <v>204</v>
      </c>
      <c r="Q9" s="1669"/>
      <c r="R9" s="2240" t="s">
        <v>416</v>
      </c>
      <c r="S9" s="2214"/>
      <c r="T9" s="2305" t="s">
        <v>88</v>
      </c>
      <c r="U9" s="2306"/>
      <c r="V9" s="2240" t="s">
        <v>204</v>
      </c>
      <c r="W9" s="1669"/>
      <c r="X9" s="2240" t="s">
        <v>416</v>
      </c>
      <c r="Y9" s="2214"/>
      <c r="Z9" s="2305" t="s">
        <v>88</v>
      </c>
      <c r="AA9" s="2306"/>
      <c r="AB9" s="2240" t="s">
        <v>417</v>
      </c>
      <c r="AC9" s="1669"/>
      <c r="AD9" s="2240" t="s">
        <v>416</v>
      </c>
      <c r="AE9" s="2214"/>
      <c r="AF9" s="2305" t="s">
        <v>88</v>
      </c>
      <c r="AG9" s="2306"/>
      <c r="AH9" s="2214" t="s">
        <v>417</v>
      </c>
      <c r="AI9" s="2240"/>
      <c r="AJ9" s="1687"/>
      <c r="BM9" s="406">
        <v>22</v>
      </c>
    </row>
    <row customHeight="1" ht="24">
      <c r="D10" s="2288"/>
      <c r="E10" s="2288"/>
      <c r="F10" s="2312"/>
      <c r="G10" s="2312"/>
      <c r="H10" s="2313"/>
      <c r="I10" s="2314"/>
      <c r="J10" s="2305"/>
      <c r="K10" s="1672"/>
      <c r="L10" s="1691" t="s">
        <v>418</v>
      </c>
      <c r="M10" s="1686" t="s">
        <v>419</v>
      </c>
      <c r="N10" s="2307"/>
      <c r="O10" s="2308"/>
      <c r="P10" s="2288"/>
      <c r="Q10" s="1669"/>
      <c r="R10" s="1691" t="s">
        <v>418</v>
      </c>
      <c r="S10" s="1686" t="s">
        <v>419</v>
      </c>
      <c r="T10" s="2307"/>
      <c r="U10" s="2308"/>
      <c r="V10" s="2288"/>
      <c r="W10" s="1669"/>
      <c r="X10" s="1691" t="s">
        <v>418</v>
      </c>
      <c r="Y10" s="1686" t="s">
        <v>419</v>
      </c>
      <c r="Z10" s="2307"/>
      <c r="AA10" s="2308"/>
      <c r="AB10" s="2288"/>
      <c r="AC10" s="1669"/>
      <c r="AD10" s="1691" t="s">
        <v>418</v>
      </c>
      <c r="AE10" s="1686" t="s">
        <v>419</v>
      </c>
      <c r="AF10" s="2307"/>
      <c r="AG10" s="2308"/>
      <c r="AH10" s="2305"/>
      <c r="AI10" s="2288"/>
      <c r="AJ10" s="1687"/>
      <c r="AK10" s="367" t="s">
        <v>420</v>
      </c>
      <c r="AL10" s="367" t="s">
        <v>205</v>
      </c>
      <c r="BM10" s="406">
        <v>23</v>
      </c>
    </row>
    <row customHeight="1" ht="15">
      <c r="D11" s="2296" t="s">
        <v>187</v>
      </c>
      <c r="E11" s="2292" t="s">
        <v>421</v>
      </c>
      <c r="F11" s="2292" t="s">
        <v>422</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8759"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104</v>
      </c>
      <c r="E17" s="2292" t="s">
        <v>421</v>
      </c>
      <c r="F17" s="2292" t="s">
        <v>423</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8759"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90</v>
      </c>
      <c r="E23" s="2292" t="s">
        <v>421</v>
      </c>
      <c r="F23" s="2292" t="s">
        <v>424</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98</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8759"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91</v>
      </c>
      <c r="E29" s="2292" t="s">
        <v>421</v>
      </c>
      <c r="F29" s="2292" t="s">
        <v>425</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8759"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118</v>
      </c>
      <c r="E35" s="2292" t="s">
        <v>421</v>
      </c>
      <c r="F35" s="2292" t="s">
        <v>426</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8759"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82</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CE3244-D6D5-660A-17F6-C1F659232D53}"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8917" width="15.00390625" hidden="1" customWidth="1"/>
    <col min="2" max="2" style="8874" width="15.00390625" hidden="1" customWidth="1"/>
    <col min="3" max="3" style="8918" width="3.00390625" customWidth="1"/>
    <col min="4" max="4" style="8919" width="6.00390625" customWidth="1"/>
    <col min="5" max="5" style="8918" width="52.00390625" customWidth="1"/>
    <col min="6" max="6" style="8918" width="48.00390625" customWidth="1"/>
    <col min="7" max="7" style="8918" width="121.00390625" customWidth="1"/>
    <col min="8" max="8" style="8918" width="8.00390625" customWidth="1"/>
    <col min="9" max="9" style="8918" width="64.00390625" customWidth="1"/>
    <col min="10" max="10" style="8918" width="9.140625" hidden="1"/>
  </cols>
  <sheetData>
    <row customHeight="1" ht="11.25" hidden="1">
      <c r="A1" s="1799" t="s">
        <v>427</v>
      </c>
      <c r="J1" s="568" t="s">
        <v>14</v>
      </c>
    </row>
    <row customHeight="1" ht="11.25" hidden="1">
      <c r="J2" s="568">
        <v>0</v>
      </c>
    </row>
    <row s="8832" customFormat="1" customHeight="1" ht="11.549999999999999">
      <c r="A3" s="1799"/>
      <c r="B3" s="614"/>
      <c r="D3" s="591"/>
      <c r="J3" s="590">
        <v>11</v>
      </c>
    </row>
    <row customHeight="1" ht="27.299999999999997">
      <c r="D4" s="2270" t="str">
        <f>ORG_INFO_NAME_FORM</f>
        <v>Форма 1. Информация об организации, осуществляющей холодное водоснабжение (общая информация)</v>
      </c>
      <c r="E4" s="2271"/>
      <c r="F4" s="2272"/>
      <c r="I4" s="828"/>
      <c r="J4" s="568">
        <v>26</v>
      </c>
    </row>
    <row customHeight="1" ht="18">
      <c r="D5" s="2289" t="str">
        <f>IF(org=0,"Не определено",org)</f>
        <v>МУП ЖКХ "Родник"</v>
      </c>
      <c r="E5" s="2289"/>
      <c r="F5" s="2289"/>
      <c r="I5" s="828"/>
      <c r="J5" s="568">
        <v>17</v>
      </c>
    </row>
    <row s="8832"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428</v>
      </c>
      <c r="E8" s="2318"/>
      <c r="F8" s="2318"/>
      <c r="G8" s="2321" t="s">
        <v>429</v>
      </c>
      <c r="J8" s="568">
        <v>11</v>
      </c>
    </row>
    <row customHeight="1" ht="11.549999999999999">
      <c r="A9" s="570"/>
      <c r="B9" s="615"/>
      <c r="C9" s="570"/>
      <c r="D9" s="585" t="s">
        <v>88</v>
      </c>
      <c r="E9" s="559" t="s">
        <v>430</v>
      </c>
      <c r="F9" s="559" t="s">
        <v>431</v>
      </c>
      <c r="G9" s="2322"/>
      <c r="J9" s="568">
        <v>11</v>
      </c>
    </row>
    <row customHeight="1" ht="12" hidden="1">
      <c r="A10" s="570"/>
      <c r="B10" s="615"/>
      <c r="C10" s="570"/>
      <c r="D10" s="577"/>
      <c r="E10" s="577"/>
      <c r="F10" s="577"/>
      <c r="G10" s="577"/>
      <c r="J10" s="568">
        <v>0</v>
      </c>
    </row>
    <row customHeight="1" ht="22.5" hidden="1">
      <c r="A11" s="570"/>
      <c r="B11" s="615"/>
      <c r="C11" s="570"/>
      <c r="D11" s="1122" t="s">
        <v>187</v>
      </c>
      <c r="E11" s="1125" t="s">
        <v>432</v>
      </c>
      <c r="F11" s="1124" t="str">
        <f>IF(region_name="","",region_name)</f>
        <v>Курская область</v>
      </c>
      <c r="G11" s="1125" t="s">
        <v>433</v>
      </c>
      <c r="H11" s="588"/>
      <c r="J11" s="568">
        <v>0</v>
      </c>
    </row>
    <row customHeight="1" ht="22.5" hidden="1">
      <c r="A12" s="570"/>
      <c r="B12" s="615"/>
      <c r="C12" s="570"/>
      <c r="D12" s="558" t="s">
        <v>187</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56" t="s">
        <v>434</v>
      </c>
      <c r="G12" s="587"/>
      <c r="H12" s="588"/>
      <c r="J12" s="568">
        <v>0</v>
      </c>
    </row>
    <row customHeight="1" ht="23.25">
      <c r="A13" s="570"/>
      <c r="B13" s="615"/>
      <c r="C13" s="570"/>
      <c r="D13" s="558" t="s">
        <v>187</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88"/>
      <c r="J13" s="568">
        <v>22</v>
      </c>
    </row>
    <row customHeight="1" ht="22.5" hidden="1">
      <c r="A14" s="570"/>
      <c r="B14" s="615"/>
      <c r="C14" s="570"/>
      <c r="D14" s="1122" t="s">
        <v>435</v>
      </c>
      <c r="E14" s="1123" t="s">
        <v>436</v>
      </c>
      <c r="F14" s="1124" t="str">
        <f>IF(inn="","",inn)</f>
        <v>4611013586</v>
      </c>
      <c r="G14" s="1125" t="s">
        <v>437</v>
      </c>
      <c r="H14" s="588"/>
      <c r="J14" s="568">
        <v>0</v>
      </c>
    </row>
    <row customHeight="1" ht="22.5" hidden="1">
      <c r="A15" s="570"/>
      <c r="B15" s="615"/>
      <c r="C15" s="570"/>
      <c r="D15" s="1122" t="s">
        <v>438</v>
      </c>
      <c r="E15" s="1123" t="s">
        <v>439</v>
      </c>
      <c r="F15" s="1124" t="str">
        <f>IF(kpp="","",kpp)</f>
        <v>461101001</v>
      </c>
      <c r="G15" s="1125" t="s">
        <v>440</v>
      </c>
      <c r="H15" s="588"/>
      <c r="J15" s="568">
        <v>0</v>
      </c>
    </row>
    <row customHeight="1" ht="39">
      <c r="A16" s="570"/>
      <c r="B16" s="615"/>
      <c r="C16" s="570"/>
      <c r="D16" s="558" t="s">
        <v>104</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90</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91</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441</v>
      </c>
      <c r="B19" s="615"/>
      <c r="C19" s="2326"/>
      <c r="D19" s="558" t="str">
        <f>A19</f>
        <v>5.1</v>
      </c>
      <c r="E19" s="555" t="s">
        <v>442</v>
      </c>
      <c r="F19" s="556" t="s">
        <v>434</v>
      </c>
      <c r="G19" s="557" t="s">
        <v>443</v>
      </c>
      <c r="H19" s="588"/>
      <c r="I19" s="965"/>
      <c r="J19" s="568">
        <v>0</v>
      </c>
    </row>
    <row customHeight="1" ht="24" hidden="1">
      <c r="A20" s="2315"/>
      <c r="B20" s="615"/>
      <c r="C20" s="2326"/>
      <c r="D20" s="553" t="str">
        <f>D19&amp;".1"</f>
        <v>5.1.1</v>
      </c>
      <c r="E20" s="552" t="s">
        <v>444</v>
      </c>
      <c r="F20" s="994" t="s">
        <v>28</v>
      </c>
      <c r="G20" s="587"/>
      <c r="H20" s="588"/>
      <c r="I20" s="965"/>
      <c r="J20" s="568">
        <v>0</v>
      </c>
    </row>
    <row customHeight="1" ht="22.5" hidden="1">
      <c r="A21" s="2315"/>
      <c r="B21" s="615"/>
      <c r="C21" s="2326"/>
      <c r="D21" s="553" t="str">
        <f>D19&amp;".2"</f>
        <v>5.1.2</v>
      </c>
      <c r="E21" s="552" t="s">
        <v>445</v>
      </c>
      <c r="F21" s="1846" t="s">
        <v>28</v>
      </c>
      <c r="G21" s="557" t="s">
        <v>446</v>
      </c>
      <c r="H21" s="588"/>
      <c r="I21" s="965"/>
      <c r="J21" s="568">
        <v>0</v>
      </c>
    </row>
    <row customHeight="1" ht="22.5" hidden="1">
      <c r="A22" s="2315"/>
      <c r="B22" s="615"/>
      <c r="C22" s="2326"/>
      <c r="D22" s="553" t="str">
        <f>D19&amp;".3"</f>
        <v>5.1.3</v>
      </c>
      <c r="E22" s="552" t="s">
        <v>447</v>
      </c>
      <c r="F22" s="994" t="s">
        <v>28</v>
      </c>
      <c r="G22" s="587"/>
      <c r="H22" s="588"/>
      <c r="I22" s="965"/>
      <c r="J22" s="568">
        <v>0</v>
      </c>
    </row>
    <row customHeight="1" ht="22.5" hidden="1">
      <c r="A23" s="2315"/>
      <c r="B23" s="615"/>
      <c r="C23" s="2326"/>
      <c r="D23" s="553" t="str">
        <f>D19&amp;".4"</f>
        <v>5.1.4</v>
      </c>
      <c r="E23" s="552" t="s">
        <v>448</v>
      </c>
      <c r="F23" s="994" t="s">
        <v>28</v>
      </c>
      <c r="G23" s="557" t="s">
        <v>449</v>
      </c>
      <c r="H23" s="588"/>
      <c r="I23" s="965"/>
      <c r="J23" s="568">
        <v>0</v>
      </c>
    </row>
    <row customHeight="1" ht="22.5" hidden="1">
      <c r="A24" s="2091"/>
      <c r="B24" s="615"/>
      <c r="C24" s="605"/>
      <c r="D24" s="580"/>
      <c r="E24" s="1281" t="s">
        <v>450</v>
      </c>
      <c r="F24" s="581"/>
      <c r="G24" s="582"/>
      <c r="H24" s="588"/>
      <c r="I24" s="965"/>
      <c r="J24" s="568">
        <v>0</v>
      </c>
    </row>
    <row s="8874" customFormat="1" customHeight="1" ht="24.75" hidden="1">
      <c r="A25" s="570"/>
      <c r="B25" s="615"/>
      <c r="C25" s="615"/>
      <c r="D25" s="1119" t="s">
        <v>90</v>
      </c>
      <c r="E25" s="1121" t="s">
        <v>451</v>
      </c>
      <c r="F25" s="1126" t="s">
        <v>434</v>
      </c>
      <c r="G25" s="1121"/>
      <c r="J25" s="614">
        <v>0</v>
      </c>
    </row>
    <row s="8874" customFormat="1" customHeight="1" ht="11.25" hidden="1">
      <c r="A26" s="570"/>
      <c r="B26" s="615"/>
      <c r="C26" s="615"/>
      <c r="D26" s="1119" t="s">
        <v>452</v>
      </c>
      <c r="E26" s="1120" t="s">
        <v>453</v>
      </c>
      <c r="F26" s="1126" t="s">
        <v>434</v>
      </c>
      <c r="G26" s="1121"/>
      <c r="J26" s="614">
        <v>0</v>
      </c>
    </row>
    <row s="8874" customFormat="1" customHeight="1" ht="11.25" hidden="1">
      <c r="A27" s="570"/>
      <c r="B27" s="615"/>
      <c r="C27" s="615"/>
      <c r="D27" s="1119" t="s">
        <v>454</v>
      </c>
      <c r="E27" s="1127" t="s">
        <v>455</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614">
        <v>0</v>
      </c>
    </row>
    <row s="8874" customFormat="1" customHeight="1" ht="11.25" hidden="1">
      <c r="A28" s="570"/>
      <c r="B28" s="615"/>
      <c r="C28" s="615"/>
      <c r="D28" s="1119" t="s">
        <v>456</v>
      </c>
      <c r="E28" s="1127" t="s">
        <v>457</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614">
        <v>0</v>
      </c>
    </row>
    <row s="8874" customFormat="1" customHeight="1" ht="11.25" hidden="1">
      <c r="A29" s="570"/>
      <c r="B29" s="615"/>
      <c r="C29" s="615"/>
      <c r="D29" s="1119" t="s">
        <v>458</v>
      </c>
      <c r="E29" s="1127" t="s">
        <v>459</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614">
        <v>0</v>
      </c>
    </row>
    <row s="8874" customFormat="1" customHeight="1" ht="11.25" hidden="1">
      <c r="A30" s="570"/>
      <c r="B30" s="615"/>
      <c r="C30" s="615"/>
      <c r="D30" s="1119" t="s">
        <v>460</v>
      </c>
      <c r="E30" s="1120" t="s">
        <v>461</v>
      </c>
      <c r="F30" s="1128"/>
      <c r="G30" s="1121"/>
      <c r="J30" s="614">
        <v>0</v>
      </c>
    </row>
    <row s="8874" customFormat="1" customHeight="1" ht="11.25" hidden="1">
      <c r="A31" s="570"/>
      <c r="B31" s="615"/>
      <c r="C31" s="615"/>
      <c r="D31" s="1119" t="s">
        <v>462</v>
      </c>
      <c r="E31" s="1120" t="s">
        <v>463</v>
      </c>
      <c r="F31" s="1128"/>
      <c r="G31" s="1121"/>
      <c r="J31" s="614">
        <v>0</v>
      </c>
    </row>
    <row s="8874" customFormat="1" customHeight="1" ht="11.25" hidden="1">
      <c r="A32" s="570"/>
      <c r="B32" s="615"/>
      <c r="C32" s="615"/>
      <c r="D32" s="1119" t="s">
        <v>464</v>
      </c>
      <c r="E32" s="1120" t="s">
        <v>465</v>
      </c>
      <c r="F32" s="1129"/>
      <c r="G32" s="1121"/>
      <c r="J32" s="614">
        <v>0</v>
      </c>
    </row>
    <row customHeight="1" ht="24">
      <c r="A33" s="570" t="str">
        <f>IF(TEMPLATE_SPHERE="HEAT","6","5")</f>
        <v>5</v>
      </c>
      <c r="B33" s="615"/>
      <c r="C33" s="570"/>
      <c r="D33" s="553" t="str">
        <f>A33</f>
        <v>5</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56" t="s">
        <v>434</v>
      </c>
      <c r="G33" s="587"/>
      <c r="H33" s="588"/>
      <c r="J33" s="568">
        <v>23</v>
      </c>
    </row>
    <row customHeight="1" ht="23.25">
      <c r="A34" s="570"/>
      <c r="B34" s="615"/>
      <c r="C34" s="570"/>
      <c r="D34" s="553" t="str">
        <f>D33&amp;".1"</f>
        <v>5.1</v>
      </c>
      <c r="E34" s="555" t="str">
        <f>"фамилия"&amp;IF(TEMPLATE_SPHERE&lt;&gt;"HEAT"," руководителя","")</f>
        <v>фамилия руководителя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88"/>
      <c r="J34" s="568">
        <v>22</v>
      </c>
    </row>
    <row customHeight="1" ht="23.25">
      <c r="A35" s="570"/>
      <c r="B35" s="615"/>
      <c r="C35" s="570"/>
      <c r="D35" s="553" t="str">
        <f>D33&amp;".2"</f>
        <v>5.2</v>
      </c>
      <c r="E35" s="555" t="str">
        <f>"имя"&amp;IF(TEMPLATE_SPHERE&lt;&gt;"HEAT"," руководителя","")</f>
        <v>имя руководителя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88"/>
      <c r="J35" s="568">
        <v>22</v>
      </c>
    </row>
    <row customHeight="1" ht="24">
      <c r="A36" s="570"/>
      <c r="B36" s="615"/>
      <c r="C36" s="570"/>
      <c r="D36" s="553" t="str">
        <f>D33&amp;".3"</f>
        <v>5.3</v>
      </c>
      <c r="E36" s="555" t="str">
        <f>"отчество"&amp;IF(TEMPLATE_SPHERE&lt;&gt;"HEAT"," руководителя","")</f>
        <v>отчество руководителя</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88"/>
      <c r="J36" s="568">
        <v>23</v>
      </c>
    </row>
    <row customHeight="1" ht="35.699999999999996">
      <c r="A37" s="570"/>
      <c r="B37" s="615"/>
      <c r="C37" s="570"/>
      <c r="D37" s="553">
        <f>D33+1</f>
        <v>6</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54"/>
      <c r="G37" s="557" t="s">
        <v>466</v>
      </c>
      <c r="H37" s="588"/>
      <c r="J37" s="568">
        <v>34</v>
      </c>
    </row>
    <row customHeight="1" ht="35.699999999999996">
      <c r="A38" s="570"/>
      <c r="B38" s="615"/>
      <c r="C38" s="570"/>
      <c r="D38" s="553">
        <f>D37+1</f>
        <v>7</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54"/>
      <c r="G38" s="557" t="s">
        <v>466</v>
      </c>
      <c r="H38" s="588"/>
      <c r="J38" s="568">
        <v>34</v>
      </c>
    </row>
    <row customHeight="1" ht="23.25">
      <c r="A39" s="570"/>
      <c r="B39" s="615"/>
      <c r="C39" s="570"/>
      <c r="D39" s="553">
        <f>D38+1</f>
        <v>8</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56" t="s">
        <v>434</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8.0</v>
      </c>
      <c r="E40" s="1718"/>
      <c r="F40" s="994"/>
      <c r="G40" s="2324"/>
      <c r="H40" s="588"/>
      <c r="J40" s="568">
        <v>0</v>
      </c>
    </row>
    <row customHeight="1" ht="23.25">
      <c r="A41" s="570"/>
      <c r="B41" s="570"/>
      <c r="C41" s="1801"/>
      <c r="D41" s="553" t="str">
        <f>D39&amp;".1"</f>
        <v>8.1</v>
      </c>
      <c r="E41" s="973"/>
      <c r="F41" s="974"/>
      <c r="G41" s="2324"/>
      <c r="H41" s="588"/>
      <c r="J41" s="568">
        <v>22</v>
      </c>
    </row>
    <row customHeight="1" ht="15.75">
      <c r="A42" s="570"/>
      <c r="B42" s="615"/>
      <c r="C42" s="570"/>
      <c r="D42" s="580"/>
      <c r="E42" s="528" t="s">
        <v>467</v>
      </c>
      <c r="F42" s="582"/>
      <c r="G42" s="2325"/>
      <c r="H42" s="589"/>
      <c r="J42" s="568">
        <v>15</v>
      </c>
    </row>
    <row customHeight="1" ht="27.299999999999997">
      <c r="A43" s="570"/>
      <c r="B43" s="615"/>
      <c r="C43" s="570"/>
      <c r="D43" s="553">
        <f>D39+1</f>
        <v>9</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10</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91"/>
      <c r="G44" s="587" t="s">
        <v>468</v>
      </c>
      <c r="H44" s="588"/>
      <c r="J44" s="568">
        <v>22</v>
      </c>
    </row>
    <row customHeight="1" ht="23.25">
      <c r="A45" s="570"/>
      <c r="B45" s="615"/>
      <c r="C45" s="570"/>
      <c r="D45" s="553">
        <f>D44+1</f>
        <v>11</v>
      </c>
      <c r="E45" s="551" t="s">
        <v>469</v>
      </c>
      <c r="F45" s="556" t="s">
        <v>434</v>
      </c>
      <c r="G45" s="550" t="str">
        <f>IF(TEMPLATE_SPHERE="TKO","Указывается режим работы организации.","")</f>
        <v/>
      </c>
      <c r="H45" s="588"/>
      <c r="J45" s="568">
        <v>22</v>
      </c>
    </row>
    <row customHeight="1" ht="24">
      <c r="A46" s="570"/>
      <c r="B46" s="615"/>
      <c r="C46" s="570"/>
      <c r="D46" s="553" t="str">
        <f>D45&amp;".1"</f>
        <v>11.1</v>
      </c>
      <c r="E46" s="555" t="str">
        <f>"режим работы регулируемой организации"&amp;IF(TEMPLATE_SPHERE="HEAT",", ЕТО, ТО","")</f>
        <v>режим работы регулируемой организации</v>
      </c>
      <c r="F46" s="1797"/>
      <c r="G46" s="550" t="s">
        <v>470</v>
      </c>
      <c r="H46" s="588"/>
      <c r="J46" s="568">
        <v>23</v>
      </c>
    </row>
    <row customHeight="1" ht="24">
      <c r="A47" s="2315"/>
      <c r="B47" s="615"/>
      <c r="C47" s="605"/>
      <c r="D47" s="553" t="str">
        <f>D45&amp;".2"</f>
        <v>11.2</v>
      </c>
      <c r="E47" s="555" t="s">
        <v>471</v>
      </c>
      <c r="F47" s="603"/>
      <c r="G47" s="550" t="s">
        <v>472</v>
      </c>
      <c r="H47" s="588"/>
      <c r="J47" s="568">
        <v>23</v>
      </c>
    </row>
    <row customHeight="1" ht="24">
      <c r="A48" s="2315"/>
      <c r="B48" s="615"/>
      <c r="C48" s="605"/>
      <c r="D48" s="553" t="str">
        <f>D45&amp;".3"</f>
        <v>11.3</v>
      </c>
      <c r="E48" s="555" t="s">
        <v>473</v>
      </c>
      <c r="F48" s="603"/>
      <c r="G48" s="550" t="s">
        <v>474</v>
      </c>
      <c r="H48" s="588"/>
      <c r="J48" s="568">
        <v>23</v>
      </c>
    </row>
    <row customHeight="1" ht="24">
      <c r="A49" s="2315"/>
      <c r="B49" s="615"/>
      <c r="C49" s="605"/>
      <c r="D49" s="553" t="str">
        <f>IF(TEMPLATE_SPHERE="TKO",D45&amp;".0",D45&amp;".4")</f>
        <v>11.4</v>
      </c>
      <c r="E49" s="549" t="s">
        <v>475</v>
      </c>
      <c r="F49" s="1798"/>
      <c r="G49" s="1875" t="s">
        <v>476</v>
      </c>
      <c r="H49" s="588"/>
      <c r="J49" s="568">
        <v>23</v>
      </c>
    </row>
    <row customHeight="1" ht="24">
      <c r="A50" s="570"/>
      <c r="B50" s="615"/>
      <c r="C50" s="570"/>
      <c r="D50" s="580"/>
      <c r="E50" s="528" t="s">
        <v>477</v>
      </c>
      <c r="F50" s="581"/>
      <c r="G50" s="1875" t="s">
        <v>478</v>
      </c>
      <c r="H50" s="589"/>
      <c r="J50" s="568">
        <v>23</v>
      </c>
    </row>
    <row customHeight="1" ht="24">
      <c r="A51" s="971"/>
      <c r="B51" s="615"/>
      <c r="C51" s="605"/>
      <c r="D51" s="553">
        <f>D45+1</f>
        <v>12</v>
      </c>
      <c r="E51" s="641" t="s">
        <v>479</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88"/>
      <c r="J51" s="568">
        <v>23</v>
      </c>
    </row>
    <row customHeight="1" ht="11.549999999999999">
      <c r="A52" s="570"/>
      <c r="B52" s="615"/>
      <c r="C52" s="570"/>
      <c r="J52" s="568">
        <v>11</v>
      </c>
    </row>
    <row s="8903"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19"/>
      <c r="F53" s="2319"/>
      <c r="G53" s="2319"/>
      <c r="H53" s="567"/>
      <c r="I53" s="567"/>
      <c r="J53" s="573">
        <v>30</v>
      </c>
    </row>
    <row s="8903" customFormat="1" customHeight="1" ht="42">
      <c r="A54" s="570"/>
      <c r="B54" s="615"/>
      <c r="C54" s="2316"/>
      <c r="D54" s="231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82</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E29837-3046-FE65-BB77-24A974A2A172}"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8237" width="9.140625" hidden="1" customWidth="1"/>
    <col min="2" max="2" style="8273" width="9.140625" hidden="1" customWidth="1"/>
    <col min="3" max="3" style="8453" width="3.00390625" customWidth="1"/>
    <col min="4" max="4" style="8273" width="5.00390625" customWidth="1"/>
    <col min="5" max="5" style="8273" width="48.00390625" customWidth="1"/>
    <col min="6" max="6" style="8273" width="38.00390625" customWidth="1"/>
    <col min="7" max="7" style="8273" width="1.7109375" hidden="1" customWidth="1"/>
    <col min="8" max="11" style="8273" width="19.8515625" hidden="1" customWidth="1"/>
    <col min="12" max="12" style="8273" width="9.7109375" hidden="1" customWidth="1"/>
    <col min="13" max="18" style="8273" width="19.8515625" hidden="1" customWidth="1"/>
    <col min="19" max="19" style="8273" width="1.7109375" hidden="1" customWidth="1"/>
    <col min="20" max="22" style="8273" width="19.8515625" hidden="1" customWidth="1"/>
    <col min="23" max="23" style="8273" width="1.7109375" hidden="1" customWidth="1"/>
    <col min="24" max="26" style="8273" width="19.8515625" customWidth="1"/>
    <col min="27" max="27" style="8273" width="1.7109375" hidden="1" customWidth="1"/>
    <col min="28" max="29" style="8273" width="19.8515625" hidden="1" customWidth="1"/>
    <col min="30" max="30" style="8273" width="1.7109375" hidden="1" customWidth="1"/>
    <col min="31" max="32" style="8273" width="103.7109375" hidden="1" customWidth="1"/>
    <col min="33" max="33" style="8273" width="103.7109375" customWidth="1"/>
    <col min="34" max="34" style="8273" width="103.7109375" hidden="1" customWidth="1"/>
    <col min="35" max="35" style="8370" width="3.00390625" customWidth="1"/>
    <col min="36" max="38" style="8355" width="10.00390625" customWidth="1"/>
    <col min="39" max="39" style="8355" width="13.7109375" hidden="1" customWidth="1"/>
    <col min="40" max="40" style="8355" width="15.00390625" customWidth="1"/>
    <col min="41" max="41" style="8355" width="16.00390625" customWidth="1"/>
    <col min="42" max="45" style="8355" width="10.00390625" customWidth="1"/>
    <col min="46" max="46" style="8273" width="10.57421875" hidden="1"/>
  </cols>
  <sheetData>
    <row customHeight="1" ht="22.5" hidden="1">
      <c r="E1" s="525"/>
      <c r="F1" s="525"/>
      <c r="G1" s="525"/>
      <c r="H1" s="2330" t="s">
        <v>480</v>
      </c>
      <c r="I1" s="2330"/>
      <c r="J1" s="2330"/>
      <c r="K1" s="2330"/>
      <c r="L1" s="2330"/>
      <c r="M1" s="2330"/>
      <c r="N1" s="2330"/>
      <c r="O1" s="2330"/>
      <c r="P1" s="2330"/>
      <c r="Q1" s="2330"/>
      <c r="R1" s="2330"/>
      <c r="T1" s="2330" t="s">
        <v>481</v>
      </c>
      <c r="U1" s="2330"/>
      <c r="V1" s="2330"/>
      <c r="X1" s="2330" t="s">
        <v>482</v>
      </c>
      <c r="Y1" s="2330"/>
      <c r="Z1" s="2330"/>
      <c r="AB1" s="2330" t="s">
        <v>483</v>
      </c>
      <c r="AC1" s="2330"/>
      <c r="AT1" s="560" t="s">
        <v>14</v>
      </c>
    </row>
    <row customHeight="1" ht="14.25" hidden="1">
      <c r="AT2" s="560">
        <v>0</v>
      </c>
    </row>
    <row s="8921" customFormat="1" customHeight="1" ht="5.25">
      <c r="C3" s="814"/>
      <c r="D3" s="815"/>
      <c r="E3" s="815"/>
      <c r="F3" s="815"/>
      <c r="G3" s="815"/>
      <c r="H3" s="815" t="s">
        <v>484</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1. Информация об организации, осуществляющей холодное водоснабжение (общая информация)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8273" customFormat="1" customHeight="1" ht="18">
      <c r="A5" s="872"/>
      <c r="C5" s="935"/>
      <c r="D5" s="2327" t="str">
        <f>IF(org=0,"Не определено",org)</f>
        <v>МУП ЖКХ "Родник"</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8248"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428</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429</v>
      </c>
      <c r="AF7" s="2336" t="s">
        <v>429</v>
      </c>
      <c r="AG7" s="2336" t="s">
        <v>429</v>
      </c>
      <c r="AH7" s="2336" t="s">
        <v>429</v>
      </c>
      <c r="AT7" s="560">
        <v>14</v>
      </c>
    </row>
    <row customHeight="1" ht="27.299999999999997">
      <c r="C8" s="563"/>
      <c r="D8" s="2240" t="s">
        <v>88</v>
      </c>
      <c r="E8" s="2336" t="str">
        <f>"Наименование "&amp;IF(TEMPLATE_SPHERE&lt;&gt;"HEAT","централизованной ","")&amp;"системы "&amp;TEMPLATE_SPHERE_RUS</f>
        <v>Наименование централизованной системы холодного водоснабжения</v>
      </c>
      <c r="F8" s="2336" t="str">
        <f>IF(TEMPLATE_SPHERE&lt;&gt;"HEAT","Регулируемый вид деятельности","Вид регулируемой деятельности")</f>
        <v>Регулируемый вид деятельности</v>
      </c>
      <c r="G8" s="941"/>
      <c r="H8" s="2337" t="s">
        <v>485</v>
      </c>
      <c r="I8" s="2339" t="s">
        <v>486</v>
      </c>
      <c r="J8" s="2336" t="s">
        <v>487</v>
      </c>
      <c r="K8" s="2336"/>
      <c r="L8" s="2336"/>
      <c r="M8" s="2331"/>
      <c r="N8" s="2336" t="s">
        <v>488</v>
      </c>
      <c r="O8" s="2336"/>
      <c r="P8" s="2336" t="s">
        <v>489</v>
      </c>
      <c r="Q8" s="2336"/>
      <c r="R8" s="2343" t="s">
        <v>490</v>
      </c>
      <c r="S8" s="937"/>
      <c r="T8" s="2341" t="s">
        <v>491</v>
      </c>
      <c r="U8" s="2341" t="s">
        <v>492</v>
      </c>
      <c r="V8" s="2341" t="s">
        <v>493</v>
      </c>
      <c r="W8" s="939"/>
      <c r="X8" s="2341" t="s">
        <v>494</v>
      </c>
      <c r="Y8" s="2341" t="s">
        <v>495</v>
      </c>
      <c r="Z8" s="2341" t="s">
        <v>496</v>
      </c>
      <c r="AA8" s="939"/>
      <c r="AB8" s="2341" t="s">
        <v>497</v>
      </c>
      <c r="AC8" s="2341" t="s">
        <v>490</v>
      </c>
      <c r="AD8" s="939"/>
      <c r="AE8" s="2336"/>
      <c r="AF8" s="2336"/>
      <c r="AG8" s="2336"/>
      <c r="AH8" s="2336"/>
      <c r="AT8" s="560">
        <v>26</v>
      </c>
    </row>
    <row customHeight="1" ht="46.199999999999996">
      <c r="C9" s="563"/>
      <c r="D9" s="2240"/>
      <c r="E9" s="2336"/>
      <c r="F9" s="2336"/>
      <c r="G9" s="942"/>
      <c r="H9" s="2338"/>
      <c r="I9" s="2340"/>
      <c r="J9" s="538" t="s">
        <v>498</v>
      </c>
      <c r="K9" s="538" t="s">
        <v>499</v>
      </c>
      <c r="L9" s="538" t="s">
        <v>500</v>
      </c>
      <c r="M9" s="544" t="s">
        <v>501</v>
      </c>
      <c r="N9" s="538" t="s">
        <v>502</v>
      </c>
      <c r="O9" s="538" t="s">
        <v>501</v>
      </c>
      <c r="P9" s="538" t="s">
        <v>503</v>
      </c>
      <c r="Q9" s="538" t="s">
        <v>501</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8962" customFormat="1" customHeight="1" ht="11.25" hidden="1">
      <c r="C11" s="611"/>
      <c r="D11" s="612" t="s">
        <v>504</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187</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505</v>
      </c>
      <c r="AF12" s="2334" t="s">
        <v>506</v>
      </c>
      <c r="AG12" s="2334" t="s">
        <v>507</v>
      </c>
      <c r="AH12" s="2334" t="s">
        <v>508</v>
      </c>
      <c r="AI12" s="560"/>
      <c r="AM12" s="624"/>
      <c r="AP12" s="613" t="s">
        <v>509</v>
      </c>
      <c r="AQ12" s="613" t="s">
        <v>509</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82</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6EA1E4-A5A6-403B-3FA2-D35A54545F8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237" width="9.140625" hidden="1" customWidth="1"/>
    <col min="2" max="2" style="8273" width="9.140625" hidden="1" customWidth="1"/>
    <col min="3" max="3" style="8453" width="3.00390625" customWidth="1"/>
    <col min="4" max="4" style="8273" width="5.00390625" customWidth="1"/>
    <col min="5" max="5" style="8273" width="38.00390625" customWidth="1"/>
    <col min="6" max="7" style="8273" width="3.00390625" customWidth="1"/>
    <col min="8" max="8" style="8273" width="38.00390625" customWidth="1"/>
    <col min="9" max="9" style="8273" width="35.00390625" customWidth="1"/>
    <col min="10" max="10" style="8273" width="103.00390625" customWidth="1"/>
    <col min="11" max="11" style="8370" width="3.00390625" customWidth="1"/>
    <col min="12" max="14" style="8355" width="10.00390625" customWidth="1"/>
    <col min="15" max="15" style="8355" width="13.00390625" customWidth="1"/>
    <col min="16" max="16" style="8355" width="15.00390625" customWidth="1"/>
    <col min="17" max="17" style="8355" width="16.00390625" customWidth="1"/>
    <col min="18" max="21" style="8355" width="10.00390625" customWidth="1"/>
    <col min="22" max="22" style="8273" width="10.57421875" hidden="1"/>
  </cols>
  <sheetData>
    <row customHeight="1" ht="22.5" hidden="1">
      <c r="E1" s="525"/>
      <c r="F1" s="525"/>
      <c r="G1" s="525"/>
      <c r="H1" s="2330" t="s">
        <v>480</v>
      </c>
      <c r="I1" s="2330"/>
      <c r="V1" s="1720" t="s">
        <v>14</v>
      </c>
    </row>
    <row s="8273" customFormat="1" customHeight="1" ht="14.25" hidden="1">
      <c r="C2" s="1732"/>
      <c r="D2" s="2346" t="s">
        <v>187</v>
      </c>
      <c r="E2" s="2348"/>
      <c r="F2" s="1738"/>
      <c r="G2" s="1733" t="s">
        <v>187</v>
      </c>
      <c r="H2" s="1736"/>
      <c r="I2" s="1734"/>
      <c r="L2" s="1735"/>
      <c r="M2" s="1735"/>
      <c r="N2" s="1735"/>
      <c r="O2" s="1735" t="s">
        <v>510</v>
      </c>
      <c r="P2" s="1735"/>
      <c r="Q2" s="1735"/>
      <c r="R2" s="1737" t="s">
        <v>509</v>
      </c>
      <c r="S2" s="1737" t="s">
        <v>509</v>
      </c>
      <c r="T2" s="1735"/>
      <c r="U2" s="1735"/>
      <c r="V2" s="1731">
        <v>0</v>
      </c>
    </row>
    <row s="8273" customFormat="1" customHeight="1" ht="14.25" hidden="1">
      <c r="C3" s="1732"/>
      <c r="D3" s="2347"/>
      <c r="E3" s="2349"/>
      <c r="F3" s="518"/>
      <c r="G3" s="982"/>
      <c r="H3" s="982" t="s">
        <v>511</v>
      </c>
      <c r="I3" s="426"/>
      <c r="L3" s="1735"/>
      <c r="M3" s="1735"/>
      <c r="N3" s="1735"/>
      <c r="O3" s="1735"/>
      <c r="P3" s="1735"/>
      <c r="Q3" s="1735"/>
      <c r="R3" s="1737"/>
      <c r="S3" s="1737"/>
      <c r="T3" s="1735"/>
      <c r="U3" s="1735"/>
      <c r="V3" s="1731">
        <v>0</v>
      </c>
    </row>
    <row customHeight="1" ht="14.25" hidden="1">
      <c r="V4" s="1720">
        <v>0</v>
      </c>
    </row>
    <row s="8921" customFormat="1" customHeight="1" ht="5.25">
      <c r="C5" s="814"/>
      <c r="D5" s="815"/>
      <c r="E5" s="815"/>
      <c r="F5" s="815"/>
      <c r="G5" s="815"/>
      <c r="H5" s="815" t="s">
        <v>484</v>
      </c>
      <c r="I5" s="815"/>
      <c r="J5" s="815"/>
      <c r="L5" s="1727"/>
      <c r="M5" s="1727"/>
      <c r="N5" s="1727"/>
      <c r="O5" s="1727"/>
      <c r="P5" s="1727"/>
      <c r="Q5" s="1727"/>
      <c r="R5" s="1727"/>
      <c r="S5" s="1727"/>
      <c r="T5" s="1727"/>
      <c r="U5" s="1727"/>
      <c r="V5" s="1726">
        <v>5</v>
      </c>
    </row>
    <row customHeight="1" ht="29.25">
      <c r="C6" s="1629"/>
      <c r="D6" s="2350" t="s">
        <v>512</v>
      </c>
      <c r="E6" s="2350"/>
      <c r="F6" s="2350"/>
      <c r="G6" s="2350"/>
      <c r="H6" s="2350"/>
      <c r="I6" s="2350"/>
      <c r="J6" s="604"/>
      <c r="K6" s="1728"/>
      <c r="V6" s="1720">
        <v>28</v>
      </c>
    </row>
    <row customHeight="1" ht="18">
      <c r="C7" s="1629"/>
      <c r="D7" s="2289" t="str">
        <f>IF(org=0,"Не определено",org)</f>
        <v>МУП ЖКХ "Родник"</v>
      </c>
      <c r="E7" s="2289"/>
      <c r="F7" s="2289"/>
      <c r="G7" s="2289"/>
      <c r="H7" s="2289"/>
      <c r="I7" s="2289"/>
      <c r="J7" s="604"/>
      <c r="K7" s="1728"/>
      <c r="V7" s="1720">
        <v>17</v>
      </c>
    </row>
    <row s="8248"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8248"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428</v>
      </c>
      <c r="E10" s="2332"/>
      <c r="F10" s="2332"/>
      <c r="G10" s="2332"/>
      <c r="H10" s="2332"/>
      <c r="I10" s="2332"/>
      <c r="J10" s="2336" t="s">
        <v>429</v>
      </c>
      <c r="V10" s="1720">
        <v>14</v>
      </c>
    </row>
    <row customHeight="1" ht="27.299999999999997">
      <c r="C11" s="1629"/>
      <c r="D11" s="2240" t="s">
        <v>88</v>
      </c>
      <c r="E11" s="2336" t="s">
        <v>183</v>
      </c>
      <c r="F11" s="2305" t="s">
        <v>88</v>
      </c>
      <c r="G11" s="2306"/>
      <c r="H11" s="2288" t="s">
        <v>513</v>
      </c>
      <c r="I11" s="2288" t="s">
        <v>514</v>
      </c>
      <c r="J11" s="2336"/>
      <c r="V11" s="1720">
        <v>26</v>
      </c>
    </row>
    <row customHeight="1" ht="14.699999999999998">
      <c r="C12" s="1629"/>
      <c r="D12" s="2240"/>
      <c r="E12" s="2336"/>
      <c r="F12" s="2313"/>
      <c r="G12" s="2314"/>
      <c r="H12" s="2345"/>
      <c r="I12" s="2345"/>
      <c r="J12" s="2336"/>
      <c r="V12" s="1720">
        <v>14</v>
      </c>
    </row>
    <row s="8962" customFormat="1" customHeight="1" ht="11.25" hidden="1">
      <c r="C13" s="611"/>
      <c r="D13" s="612" t="s">
        <v>504</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187</v>
      </c>
      <c r="E14" s="2348"/>
      <c r="F14" s="1730"/>
      <c r="G14" s="1729" t="s">
        <v>187</v>
      </c>
      <c r="H14" s="1736"/>
      <c r="I14" s="1734"/>
      <c r="J14" s="2282" t="s">
        <v>515</v>
      </c>
      <c r="K14" s="1720"/>
      <c r="R14" s="613" t="s">
        <v>509</v>
      </c>
      <c r="S14" s="613" t="s">
        <v>509</v>
      </c>
      <c r="V14" s="1720">
        <v>14</v>
      </c>
    </row>
    <row customHeight="1" ht="14.699999999999998">
      <c r="A15" s="1720"/>
      <c r="C15" s="1629"/>
      <c r="D15" s="2347"/>
      <c r="E15" s="2349"/>
      <c r="F15" s="518"/>
      <c r="G15" s="982"/>
      <c r="H15" s="982" t="s">
        <v>511</v>
      </c>
      <c r="I15" s="426"/>
      <c r="J15" s="2283"/>
      <c r="K15" s="1720"/>
      <c r="R15" s="613"/>
      <c r="S15" s="613"/>
      <c r="V15" s="1720">
        <v>14</v>
      </c>
    </row>
    <row customHeight="1" ht="14.699999999999998">
      <c r="A16" s="1720"/>
      <c r="C16" s="1629"/>
      <c r="D16" s="518"/>
      <c r="E16" s="982" t="s">
        <v>196</v>
      </c>
      <c r="F16" s="426"/>
      <c r="G16" s="426"/>
      <c r="H16" s="519"/>
      <c r="I16" s="519"/>
      <c r="J16" s="2284"/>
      <c r="K16" s="1720"/>
      <c r="V16" s="1720">
        <v>14</v>
      </c>
    </row>
    <row customHeight="1" ht="14.699999999999998">
      <c r="K17" s="1720"/>
      <c r="V17" s="1720">
        <v>14</v>
      </c>
    </row>
    <row customHeight="1" ht="22.5" hidden="1">
      <c r="A18" s="1721" t="s">
        <v>82</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A9FBB3-0F6C-54B8-BCE2-AED26B7FBA06}"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8237" width="9.140625" hidden="1" customWidth="1"/>
    <col min="2" max="3" style="8273" width="9.140625" hidden="1" customWidth="1"/>
    <col min="4" max="4" style="8453" width="3.00390625" customWidth="1"/>
    <col min="5" max="5" style="8273" width="6.00390625" customWidth="1"/>
    <col min="6" max="6" style="8273" width="1.7109375" hidden="1" customWidth="1"/>
    <col min="7" max="8" style="8273" width="30.00390625" customWidth="1"/>
    <col min="9" max="9" style="8273" width="8.00390625" customWidth="1"/>
    <col min="10" max="10" style="8273" width="12.140625" customWidth="1"/>
    <col min="11" max="11" style="8273" width="46.00390625" customWidth="1"/>
    <col min="12" max="12" style="8273" width="100.00390625" customWidth="1"/>
    <col min="13" max="13" style="8370" width="7.00390625" customWidth="1"/>
    <col min="14" max="22" style="8273" width="10.00390625" customWidth="1"/>
    <col min="23" max="23" style="8273" width="10.57421875" hidden="1"/>
  </cols>
  <sheetData>
    <row s="8355" customFormat="1" customHeight="1" ht="5.25" hidden="1">
      <c r="C1" s="624"/>
      <c r="D1" s="607"/>
      <c r="F1" s="624"/>
      <c r="G1" s="602" t="s">
        <v>83</v>
      </c>
      <c r="H1" s="602" t="s">
        <v>84</v>
      </c>
      <c r="I1" s="602" t="s">
        <v>85</v>
      </c>
      <c r="P1" s="602" t="s">
        <v>83</v>
      </c>
      <c r="Q1" s="602" t="s">
        <v>84</v>
      </c>
      <c r="R1" s="602" t="s">
        <v>85</v>
      </c>
      <c r="W1" s="602" t="s">
        <v>14</v>
      </c>
    </row>
    <row s="8355" customFormat="1" customHeight="1" ht="5.25" hidden="1">
      <c r="C2" s="624"/>
      <c r="D2" s="607"/>
      <c r="F2" s="624"/>
      <c r="W2" s="602">
        <v>0</v>
      </c>
    </row>
    <row s="8248" customFormat="1" customHeight="1" ht="5.25">
      <c r="A3" s="592"/>
      <c r="D3" s="599"/>
      <c r="E3" s="594"/>
      <c r="F3" s="594"/>
      <c r="G3" s="594"/>
      <c r="H3" s="594"/>
      <c r="I3" s="595"/>
      <c r="J3" s="596"/>
      <c r="K3" s="596"/>
      <c r="L3" s="596"/>
      <c r="W3" s="593">
        <v>5</v>
      </c>
    </row>
    <row customHeight="1" ht="23.25">
      <c r="D4" s="563"/>
      <c r="E4" s="2351" t="s">
        <v>516</v>
      </c>
      <c r="F4" s="2351"/>
      <c r="G4" s="2352"/>
      <c r="H4" s="2352"/>
      <c r="I4" s="2353"/>
      <c r="J4" s="604"/>
      <c r="K4" s="566"/>
      <c r="L4" s="566"/>
      <c r="W4" s="560">
        <v>22</v>
      </c>
    </row>
    <row s="8273" customFormat="1" customHeight="1" ht="18">
      <c r="A5" s="872"/>
      <c r="D5" s="935"/>
      <c r="E5" s="2327" t="str">
        <f>IF(org=0,"Не определено",org)</f>
        <v>МУП ЖКХ "Родник"</v>
      </c>
      <c r="F5" s="2327"/>
      <c r="G5" s="2328"/>
      <c r="H5" s="2328"/>
      <c r="I5" s="2329"/>
      <c r="J5" s="604"/>
      <c r="K5" s="566"/>
      <c r="L5" s="566"/>
      <c r="M5" s="620"/>
      <c r="W5" s="871">
        <v>17</v>
      </c>
    </row>
    <row s="8248" customFormat="1" customHeight="1" ht="11.549999999999999">
      <c r="A6" s="592"/>
      <c r="D6" s="599"/>
      <c r="E6" s="594"/>
      <c r="F6" s="594"/>
      <c r="G6" s="597"/>
      <c r="H6" s="597"/>
      <c r="I6" s="598"/>
      <c r="J6" s="598"/>
      <c r="K6" s="865"/>
      <c r="L6" s="598"/>
      <c r="W6" s="593">
        <v>11</v>
      </c>
    </row>
    <row customHeight="1" ht="14.699999999999998">
      <c r="D7" s="563"/>
      <c r="E7" s="2321" t="s">
        <v>428</v>
      </c>
      <c r="F7" s="2321"/>
      <c r="G7" s="2322"/>
      <c r="H7" s="2322"/>
      <c r="I7" s="2322"/>
      <c r="J7" s="2322"/>
      <c r="K7" s="2322"/>
      <c r="L7" s="2336" t="s">
        <v>429</v>
      </c>
      <c r="W7" s="560">
        <v>14</v>
      </c>
    </row>
    <row customHeight="1" ht="48.29999999999999">
      <c r="D8" s="563"/>
      <c r="E8" s="586" t="s">
        <v>88</v>
      </c>
      <c r="F8" s="936"/>
      <c r="G8" s="578" t="s">
        <v>86</v>
      </c>
      <c r="H8" s="578" t="s">
        <v>87</v>
      </c>
      <c r="I8" s="527" t="s">
        <v>85</v>
      </c>
      <c r="J8" s="527" t="s">
        <v>517</v>
      </c>
      <c r="K8" s="527" t="s">
        <v>518</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519</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8248" customFormat="1" customHeight="1" ht="15">
      <c r="A12" s="2212"/>
      <c r="B12" s="617"/>
      <c r="C12" s="617"/>
      <c r="D12" s="979"/>
      <c r="E12" s="936">
        <v>1</v>
      </c>
      <c r="F12" s="977">
        <v>23</v>
      </c>
      <c r="G12" s="976"/>
      <c r="H12" s="906"/>
      <c r="I12" s="904"/>
      <c r="J12" s="633" t="s">
        <v>66</v>
      </c>
      <c r="K12" s="1277" t="s">
        <v>28</v>
      </c>
      <c r="L12" s="2354"/>
      <c r="M12" s="624"/>
      <c r="N12" s="624"/>
      <c r="O12" s="624"/>
      <c r="P12" s="629" t="s">
        <v>520</v>
      </c>
      <c r="Q12" s="629" t="s">
        <v>521</v>
      </c>
      <c r="R12" s="630" t="s">
        <v>522</v>
      </c>
      <c r="S12" s="624" t="s">
        <v>523</v>
      </c>
      <c r="T12" s="624"/>
      <c r="U12" s="624"/>
      <c r="V12" s="624"/>
      <c r="W12" s="593">
        <v>14</v>
      </c>
    </row>
    <row customHeight="1" ht="15.75">
      <c r="A13" s="2212"/>
      <c r="B13" s="618"/>
      <c r="D13" s="619"/>
      <c r="E13" s="518"/>
      <c r="F13" s="642"/>
      <c r="G13" s="529" t="s">
        <v>103</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82</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7210A9-2E7C-C24B-B341-CE843683740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354" width="10.57421875" hidden="1"/>
    <col min="2" max="2" style="8354" width="11.00390625" hidden="1" customWidth="1"/>
    <col min="3" max="3" style="8354" width="10.57421875" hidden="1"/>
    <col min="4" max="4" style="8354" width="11.8515625" hidden="1" customWidth="1"/>
    <col min="5" max="5" style="8354" width="10.00390625" hidden="1" customWidth="1"/>
    <col min="6" max="6" style="8354" width="8.7109375" hidden="1" customWidth="1"/>
    <col min="7" max="7" style="8354" width="7.57421875" hidden="1" customWidth="1"/>
    <col min="8" max="8" style="8354" width="11.421875" hidden="1" customWidth="1"/>
    <col min="9" max="9" style="8354" width="12.00390625" hidden="1" customWidth="1"/>
    <col min="10" max="10" style="8354" width="9.8515625" hidden="1" customWidth="1"/>
    <col min="11" max="11" style="8354" width="11.421875" hidden="1" customWidth="1"/>
    <col min="12" max="12" style="9204" width="19.140625" hidden="1" customWidth="1"/>
    <col min="13" max="14" style="9205" width="12.28125" hidden="1" customWidth="1"/>
    <col min="15" max="15" style="9205" width="23.421875" hidden="1" customWidth="1"/>
    <col min="16" max="16" style="9206" width="3.00390625" customWidth="1"/>
    <col min="17" max="18" style="9207" width="3.00390625" customWidth="1"/>
    <col min="19" max="19" style="9208" width="12.00390625" customWidth="1"/>
    <col min="20" max="20" style="8273" width="35.00390625" customWidth="1"/>
    <col min="21" max="21" style="8273" width="0.140625" customWidth="1"/>
    <col min="22" max="22" style="8273" width="24.7109375" hidden="1" customWidth="1"/>
    <col min="23" max="23" style="8273" width="0.140625" hidden="1" customWidth="1"/>
    <col min="24" max="25" style="8273" width="24.7109375" hidden="1" customWidth="1"/>
    <col min="26" max="26" style="8273" width="11.7109375" hidden="1" customWidth="1"/>
    <col min="27" max="27" style="8273" width="3.7109375" hidden="1" customWidth="1"/>
    <col min="28" max="28" style="8273" width="11.7109375" hidden="1" customWidth="1"/>
    <col min="29" max="29" style="8273" width="8.57421875" hidden="1" customWidth="1"/>
    <col min="30" max="30" style="8273" width="24.7109375" customWidth="1"/>
    <col min="31" max="31" style="8273" width="0.140625" customWidth="1"/>
    <col min="32" max="33" style="8273" width="24.00390625" customWidth="1"/>
    <col min="34" max="34" style="8273" width="11.00390625" customWidth="1"/>
    <col min="35" max="35" style="8273" width="3.7109375" customWidth="1"/>
    <col min="36" max="36" style="8273" width="11.00390625" customWidth="1"/>
    <col min="37" max="37" style="8273" width="8.57421875" hidden="1" customWidth="1"/>
    <col min="38" max="38" style="8273" width="4.00390625" customWidth="1"/>
    <col min="39" max="39" style="8273" width="115.00390625" customWidth="1"/>
    <col min="40" max="44" style="8355" width="10.00390625" customWidth="1"/>
    <col min="45" max="45" style="8273"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198</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524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525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526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527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528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529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530</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531</v>
      </c>
      <c r="M6" s="650"/>
      <c r="P6" s="2370">
        <v>1</v>
      </c>
      <c r="Q6" s="1418"/>
      <c r="R6" s="469"/>
      <c r="S6" s="1422">
        <f>$I6</f>
      </c>
      <c r="T6" s="398" t="s">
        <v>532</v>
      </c>
      <c r="U6" s="413"/>
      <c r="V6" s="2358"/>
      <c r="W6" s="2359"/>
      <c r="X6" s="2359"/>
      <c r="Y6" s="2359"/>
      <c r="Z6" s="2359"/>
      <c r="AA6" s="2359"/>
      <c r="AB6" s="2359"/>
      <c r="AC6" s="2360"/>
      <c r="AD6" s="2358"/>
      <c r="AE6" s="2359"/>
      <c r="AF6" s="2359"/>
      <c r="AG6" s="2359"/>
      <c r="AH6" s="2359"/>
      <c r="AI6" s="2359"/>
      <c r="AJ6" s="2359"/>
      <c r="AK6" s="2359"/>
      <c r="AL6" s="2360"/>
      <c r="AM6" s="1371" t="s">
        <v>533</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534</v>
      </c>
      <c r="M7" s="650"/>
      <c r="N7" s="1479"/>
      <c r="P7" s="2370"/>
      <c r="Q7" s="2370">
        <v>1</v>
      </c>
      <c r="R7" s="470"/>
      <c r="S7" s="1422">
        <f>$J7</f>
      </c>
      <c r="T7" s="399" t="s">
        <v>535</v>
      </c>
      <c r="U7" s="413"/>
      <c r="V7" s="2358"/>
      <c r="W7" s="2359"/>
      <c r="X7" s="2359"/>
      <c r="Y7" s="2359"/>
      <c r="Z7" s="2359"/>
      <c r="AA7" s="2359"/>
      <c r="AB7" s="2359"/>
      <c r="AC7" s="2360"/>
      <c r="AD7" s="2358"/>
      <c r="AE7" s="2359"/>
      <c r="AF7" s="2359"/>
      <c r="AG7" s="2359"/>
      <c r="AH7" s="2359"/>
      <c r="AI7" s="2359"/>
      <c r="AJ7" s="2359"/>
      <c r="AK7" s="2359"/>
      <c r="AL7" s="2360"/>
      <c r="AM7" s="1371" t="s">
        <v>536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537</v>
      </c>
      <c r="M8" s="650"/>
      <c r="N8" s="1479"/>
      <c r="O8" s="1479"/>
      <c r="P8" s="2370"/>
      <c r="Q8" s="2370"/>
      <c r="R8" s="470">
        <v>1</v>
      </c>
      <c r="S8" s="1422">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538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539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540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541</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835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542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835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298</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835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355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66</v>
      </c>
      <c r="AJ17" s="2380"/>
      <c r="AK17" s="2381" t="s">
        <v>66</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8354" customFormat="1" customHeight="1" ht="22.5" hidden="1">
      <c r="L20" s="1442"/>
      <c r="M20" s="1475"/>
      <c r="N20" s="1475"/>
      <c r="O20" s="1480" t="s">
        <v>543</v>
      </c>
      <c r="P20" s="1475"/>
      <c r="Q20" s="1484"/>
      <c r="R20" s="1484"/>
      <c r="S20" s="842"/>
      <c r="Z20" s="1480"/>
      <c r="AB20" s="1480"/>
      <c r="AC20" s="1479"/>
      <c r="AH20" s="1480"/>
      <c r="AJ20" s="1480"/>
      <c r="AK20" s="1479"/>
      <c r="AN20" s="624"/>
      <c r="AO20" s="624"/>
      <c r="AP20" s="624"/>
      <c r="AQ20" s="624"/>
      <c r="AR20" s="624"/>
      <c r="AS20" s="1273">
        <v>0</v>
      </c>
    </row>
    <row s="8354" customFormat="1" customHeight="1" ht="14.25" hidden="1">
      <c r="L21" s="1442"/>
      <c r="M21" s="1475"/>
      <c r="N21" s="1475"/>
      <c r="O21" s="1475"/>
      <c r="P21" s="1475"/>
      <c r="Q21" s="1484"/>
      <c r="R21" s="1484"/>
      <c r="S21" s="842"/>
      <c r="AC21" s="1479"/>
      <c r="AK21" s="1479"/>
      <c r="AN21" s="624"/>
      <c r="AO21" s="624"/>
      <c r="AP21" s="624"/>
      <c r="AQ21" s="624"/>
      <c r="AR21" s="624"/>
      <c r="AS21" s="1273">
        <v>0</v>
      </c>
    </row>
    <row s="8354" customFormat="1" customHeight="1" ht="14.25" hidden="1">
      <c r="L22" s="1442"/>
      <c r="M22" s="1475"/>
      <c r="N22" s="1475"/>
      <c r="O22" s="1477" t="s">
        <v>544</v>
      </c>
      <c r="P22" s="1475"/>
      <c r="Q22" s="1484"/>
      <c r="R22" s="1484"/>
      <c r="S22" s="842"/>
      <c r="T22" s="1273" t="s">
        <v>545</v>
      </c>
      <c r="AA22" s="299" t="s">
        <v>546</v>
      </c>
      <c r="AC22" s="299" t="s">
        <v>547</v>
      </c>
      <c r="AD22" s="1273" t="s">
        <v>545</v>
      </c>
      <c r="AI22" s="299" t="s">
        <v>548</v>
      </c>
      <c r="AK22" s="299" t="s">
        <v>547</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МУП ЖКХ "Родник"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8491"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8491" customFormat="1" customHeight="1" ht="18.75" hidden="1">
      <c r="A30" s="1481"/>
      <c r="B30" s="1481"/>
      <c r="C30" s="1481"/>
      <c r="D30" s="1481"/>
      <c r="E30" s="1481"/>
      <c r="F30" s="1481"/>
      <c r="G30" s="1481"/>
      <c r="H30" s="1481"/>
      <c r="I30" s="1481"/>
      <c r="J30" s="1481"/>
      <c r="K30" s="1481"/>
      <c r="L30" s="1482"/>
      <c r="M30" s="1481"/>
      <c r="N30" s="1481"/>
      <c r="O30" s="1481"/>
      <c r="S30" s="2363" t="s">
        <v>549</v>
      </c>
      <c r="T30" s="2363"/>
      <c r="U30" s="1485"/>
      <c r="V30" s="2377" t="str">
        <f>IF(TITLE_DATE_PR_CHANGE="",IF(TITLE_DATE_PR="","",TITLE_DATE_PR),TITLE_DATE_PR_CHANGE)</f>
        <v>45586</v>
      </c>
      <c r="W30" s="2377"/>
      <c r="X30" s="2377"/>
      <c r="Y30" s="2377"/>
      <c r="Z30" s="2377"/>
      <c r="AA30" s="2377"/>
      <c r="AB30" s="2377"/>
      <c r="AC30" s="439"/>
      <c r="AD30" s="2377" t="str">
        <f>IF(TITLE_DATE_PR_CHANGE="",IF(TITLE_DATE_PR="","",TITLE_DATE_PR),TITLE_DATE_PR_CHANGE)</f>
        <v>45586</v>
      </c>
      <c r="AE30" s="2377"/>
      <c r="AF30" s="2377"/>
      <c r="AG30" s="2377"/>
      <c r="AH30" s="2377"/>
      <c r="AI30" s="2377"/>
      <c r="AJ30" s="2377"/>
      <c r="AK30" s="439"/>
      <c r="AL30" s="439"/>
      <c r="AM30" s="393"/>
      <c r="AN30" s="481"/>
      <c r="AO30" s="481"/>
      <c r="AP30" s="481"/>
      <c r="AQ30" s="481"/>
      <c r="AR30" s="481"/>
      <c r="AS30" s="531">
        <v>0</v>
      </c>
    </row>
    <row s="8491" customFormat="1" customHeight="1" ht="18.75" hidden="1">
      <c r="A31" s="1481"/>
      <c r="B31" s="1481"/>
      <c r="C31" s="1481"/>
      <c r="D31" s="1481"/>
      <c r="E31" s="1481"/>
      <c r="F31" s="1481"/>
      <c r="G31" s="1481"/>
      <c r="H31" s="1481"/>
      <c r="I31" s="1481"/>
      <c r="J31" s="1481"/>
      <c r="K31" s="1481"/>
      <c r="L31" s="1482"/>
      <c r="M31" s="1481"/>
      <c r="N31" s="1481"/>
      <c r="O31" s="1481"/>
      <c r="S31" s="2363" t="s">
        <v>550</v>
      </c>
      <c r="T31" s="2363"/>
      <c r="U31" s="1485"/>
      <c r="V31" s="2364" t="str">
        <f>IF(TITLE_NUMBER_PR_CHANGE="",IF(TITLE_NUMBER_PR="","",TITLE_NUMBER_PR),TITLE_NUMBER_PR_CHANGE)</f>
        <v>1577</v>
      </c>
      <c r="W31" s="2364"/>
      <c r="X31" s="2364"/>
      <c r="Y31" s="2364"/>
      <c r="Z31" s="2364"/>
      <c r="AA31" s="2364"/>
      <c r="AB31" s="2364"/>
      <c r="AC31" s="439"/>
      <c r="AD31" s="2364" t="str">
        <f>IF(TITLE_NUMBER_PR_CHANGE="",IF(TITLE_NUMBER_PR="","",TITLE_NUMBER_PR),TITLE_NUMBER_PR_CHANGE)</f>
        <v>1577</v>
      </c>
      <c r="AE31" s="2364"/>
      <c r="AF31" s="2364"/>
      <c r="AG31" s="2364"/>
      <c r="AH31" s="2364"/>
      <c r="AI31" s="2364"/>
      <c r="AJ31" s="2364"/>
      <c r="AK31" s="439"/>
      <c r="AL31" s="439"/>
      <c r="AM31" s="393"/>
      <c r="AN31" s="481"/>
      <c r="AO31" s="481"/>
      <c r="AP31" s="481"/>
      <c r="AQ31" s="481"/>
      <c r="AR31" s="481"/>
      <c r="AS31" s="531">
        <v>0</v>
      </c>
    </row>
    <row s="8491"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8491" customFormat="1" customHeight="1" ht="18.75">
      <c r="A34" s="1481"/>
      <c r="B34" s="1481"/>
      <c r="C34" s="1481"/>
      <c r="D34" s="1481"/>
      <c r="E34" s="1481"/>
      <c r="F34" s="1481"/>
      <c r="G34" s="1481"/>
      <c r="H34" s="1481"/>
      <c r="I34" s="1481"/>
      <c r="J34" s="1481"/>
      <c r="K34" s="1481"/>
      <c r="L34" s="1482"/>
      <c r="M34" s="1481"/>
      <c r="N34" s="1481"/>
      <c r="O34" s="1481"/>
      <c r="S34" s="2363" t="s">
        <v>551</v>
      </c>
      <c r="T34" s="2363"/>
      <c r="U34" s="1485"/>
      <c r="V34" s="2377" t="str">
        <f>IF(TITLE_DATE_PR_CHANGE="",IF(TITLE_DATE_PR="","",TITLE_DATE_PR),TITLE_DATE_PR_CHANGE)</f>
        <v>45586</v>
      </c>
      <c r="W34" s="2377"/>
      <c r="X34" s="2377"/>
      <c r="Y34" s="2377"/>
      <c r="Z34" s="2377"/>
      <c r="AA34" s="2377"/>
      <c r="AB34" s="2377"/>
      <c r="AC34" s="439"/>
      <c r="AD34" s="2377" t="str">
        <f>IF(TITLE_DATE_PR_CHANGE="",IF(TITLE_DATE_PR="","",TITLE_DATE_PR),TITLE_DATE_PR_CHANGE)</f>
        <v>45586</v>
      </c>
      <c r="AE34" s="2377"/>
      <c r="AF34" s="2377"/>
      <c r="AG34" s="2377"/>
      <c r="AH34" s="2377"/>
      <c r="AI34" s="2377"/>
      <c r="AJ34" s="2377"/>
      <c r="AK34" s="439"/>
      <c r="AL34" s="439"/>
      <c r="AM34" s="393"/>
      <c r="AN34" s="481"/>
      <c r="AO34" s="481"/>
      <c r="AP34" s="481"/>
      <c r="AQ34" s="481"/>
      <c r="AR34" s="481"/>
      <c r="AS34" s="531">
        <v>0</v>
      </c>
    </row>
    <row s="8491" customFormat="1" customHeight="1" ht="18.75">
      <c r="A35" s="1481"/>
      <c r="B35" s="1481"/>
      <c r="C35" s="1481"/>
      <c r="D35" s="1481"/>
      <c r="E35" s="1481"/>
      <c r="F35" s="1481"/>
      <c r="G35" s="1481"/>
      <c r="H35" s="1481"/>
      <c r="I35" s="1481"/>
      <c r="J35" s="1481"/>
      <c r="K35" s="1481"/>
      <c r="L35" s="1482"/>
      <c r="M35" s="1481"/>
      <c r="N35" s="1481"/>
      <c r="O35" s="1481"/>
      <c r="S35" s="2363" t="s">
        <v>552</v>
      </c>
      <c r="T35" s="2363"/>
      <c r="U35" s="1485"/>
      <c r="V35" s="2364" t="str">
        <f>IF(TITLE_NUMBER_PR_CHANGE="",IF(TITLE_NUMBER_PR="","",TITLE_NUMBER_PR),TITLE_NUMBER_PR_CHANGE)</f>
        <v>1577</v>
      </c>
      <c r="W35" s="2364"/>
      <c r="X35" s="2364"/>
      <c r="Y35" s="2364"/>
      <c r="Z35" s="2364"/>
      <c r="AA35" s="2364"/>
      <c r="AB35" s="2364"/>
      <c r="AC35" s="439"/>
      <c r="AD35" s="2364" t="str">
        <f>IF(TITLE_NUMBER_PR_CHANGE="",IF(TITLE_NUMBER_PR="","",TITLE_NUMBER_PR),TITLE_NUMBER_PR_CHANGE)</f>
        <v>1577</v>
      </c>
      <c r="AE35" s="2364"/>
      <c r="AF35" s="2364"/>
      <c r="AG35" s="2364"/>
      <c r="AH35" s="2364"/>
      <c r="AI35" s="2364"/>
      <c r="AJ35" s="2364"/>
      <c r="AK35" s="439"/>
      <c r="AL35" s="439"/>
      <c r="AM35" s="393"/>
      <c r="AN35" s="481"/>
      <c r="AO35" s="481"/>
      <c r="AP35" s="481"/>
      <c r="AQ35" s="481"/>
      <c r="AR35" s="481"/>
      <c r="AS35" s="531">
        <v>0</v>
      </c>
    </row>
    <row s="8491"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553</v>
      </c>
      <c r="AD36" s="439"/>
      <c r="AE36" s="439"/>
      <c r="AF36" s="439"/>
      <c r="AG36" s="439"/>
      <c r="AH36" s="439"/>
      <c r="AI36" s="439"/>
      <c r="AJ36" s="439"/>
      <c r="AK36" s="391" t="s">
        <v>553</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428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429</v>
      </c>
      <c r="AS38" s="1268">
        <v>14</v>
      </c>
    </row>
    <row customHeight="1" ht="14.699999999999998">
      <c r="Q39" s="489"/>
      <c r="R39" s="489"/>
      <c r="S39" s="2386" t="s">
        <v>88</v>
      </c>
      <c r="T39" s="2322" t="s">
        <v>554</v>
      </c>
      <c r="U39" s="414"/>
      <c r="V39" s="2387" t="s">
        <v>555</v>
      </c>
      <c r="W39" s="2388"/>
      <c r="X39" s="2388"/>
      <c r="Y39" s="2388"/>
      <c r="Z39" s="2388"/>
      <c r="AA39" s="2388"/>
      <c r="AB39" s="2389"/>
      <c r="AC39" s="2390" t="s">
        <v>556</v>
      </c>
      <c r="AD39" s="2387" t="s">
        <v>555</v>
      </c>
      <c r="AE39" s="2388"/>
      <c r="AF39" s="2388"/>
      <c r="AG39" s="2388"/>
      <c r="AH39" s="2388"/>
      <c r="AI39" s="2388"/>
      <c r="AJ39" s="2389"/>
      <c r="AK39" s="2390" t="s">
        <v>557</v>
      </c>
      <c r="AL39" s="2393" t="s">
        <v>558</v>
      </c>
      <c r="AM39" s="2240"/>
      <c r="AS39" s="1268">
        <v>14</v>
      </c>
    </row>
    <row customHeight="1" ht="35.699999999999996">
      <c r="Q40" s="489"/>
      <c r="R40" s="489"/>
      <c r="S40" s="2386"/>
      <c r="T40" s="2322"/>
      <c r="U40" s="1144"/>
      <c r="V40" s="2373" t="s">
        <v>559</v>
      </c>
      <c r="W40" s="2723" t="s">
        <v>560</v>
      </c>
      <c r="X40" s="2375" t="s">
        <v>561</v>
      </c>
      <c r="Y40" s="2376"/>
      <c r="Z40" s="2375" t="s">
        <v>562</v>
      </c>
      <c r="AA40" s="2382"/>
      <c r="AB40" s="2376"/>
      <c r="AC40" s="2391"/>
      <c r="AD40" s="2373" t="s">
        <v>559</v>
      </c>
      <c r="AE40" s="2396" t="s">
        <v>560</v>
      </c>
      <c r="AF40" s="2375" t="s">
        <v>561</v>
      </c>
      <c r="AG40" s="2376"/>
      <c r="AH40" s="2375" t="s">
        <v>562</v>
      </c>
      <c r="AI40" s="2382"/>
      <c r="AJ40" s="2376"/>
      <c r="AK40" s="2391"/>
      <c r="AL40" s="2394"/>
      <c r="AM40" s="2240"/>
      <c r="AS40" s="1268">
        <v>34</v>
      </c>
    </row>
    <row customHeight="1" ht="35.699999999999996">
      <c r="A41" s="1483"/>
      <c r="B41" s="1483" t="s">
        <v>210</v>
      </c>
      <c r="C41" s="1483" t="s">
        <v>211</v>
      </c>
      <c r="D41" s="1483" t="s">
        <v>212</v>
      </c>
      <c r="E41" s="1477" t="s">
        <v>563</v>
      </c>
      <c r="F41" s="1477" t="s">
        <v>564</v>
      </c>
      <c r="G41" s="1477" t="s">
        <v>565</v>
      </c>
      <c r="H41" s="1477" t="s">
        <v>566</v>
      </c>
      <c r="I41" s="1477" t="s">
        <v>567</v>
      </c>
      <c r="J41" s="1477" t="s">
        <v>568</v>
      </c>
      <c r="K41" s="1477" t="s">
        <v>569</v>
      </c>
      <c r="L41" s="1477" t="s">
        <v>544</v>
      </c>
      <c r="Q41" s="489"/>
      <c r="R41" s="489"/>
      <c r="S41" s="2386"/>
      <c r="T41" s="2322"/>
      <c r="U41" s="415"/>
      <c r="V41" s="2374"/>
      <c r="W41" s="2397"/>
      <c r="X41" s="1335" t="s">
        <v>570</v>
      </c>
      <c r="Y41" s="1335" t="s">
        <v>571</v>
      </c>
      <c r="Z41" s="1334" t="s">
        <v>572</v>
      </c>
      <c r="AA41" s="2383" t="s">
        <v>573</v>
      </c>
      <c r="AB41" s="2384"/>
      <c r="AC41" s="2392"/>
      <c r="AD41" s="2374"/>
      <c r="AE41" s="2397"/>
      <c r="AF41" s="1335" t="s">
        <v>570</v>
      </c>
      <c r="AG41" s="1335" t="s">
        <v>571</v>
      </c>
      <c r="AH41" s="1426" t="s">
        <v>572</v>
      </c>
      <c r="AI41" s="2383" t="s">
        <v>573</v>
      </c>
      <c r="AJ41" s="2384"/>
      <c r="AK41" s="2392"/>
      <c r="AL41" s="2395"/>
      <c r="AM41" s="2240"/>
      <c r="AS41" s="1268">
        <v>34</v>
      </c>
    </row>
    <row s="896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187</v>
      </c>
      <c r="T42" s="1368" t="s">
        <v>104</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225</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198</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225</v>
      </c>
      <c r="B44" s="1476" t="s">
        <v>226</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525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526</v>
      </c>
      <c r="AO44" s="613"/>
      <c r="AP44" s="613" t="str">
        <f>IF(T44="","",T44)</f>
        <v>Территория действия тарифа</v>
      </c>
      <c r="AQ44" s="613"/>
      <c r="AR44" s="613"/>
      <c r="AS44" s="1268">
        <v>23</v>
      </c>
    </row>
    <row customHeight="1" ht="24">
      <c r="A45" s="1476" t="s">
        <v>225</v>
      </c>
      <c r="B45" s="1476" t="s">
        <v>226</v>
      </c>
      <c r="C45" s="1476" t="s">
        <v>227</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527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528</v>
      </c>
      <c r="AO45" s="613"/>
      <c r="AP45" s="613" t="str">
        <f>IF(T45="","",T45)</f>
        <v>Наименование системы теплоснабжения </v>
      </c>
      <c r="AQ45" s="613"/>
      <c r="AR45" s="613"/>
      <c r="AS45" s="1268">
        <v>23</v>
      </c>
    </row>
    <row customHeight="1" ht="24">
      <c r="A46" s="1476" t="s">
        <v>225</v>
      </c>
      <c r="B46" s="1476" t="s">
        <v>226</v>
      </c>
      <c r="C46" s="1476" t="s">
        <v>227</v>
      </c>
      <c r="D46" s="1476" t="s">
        <v>228</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529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530</v>
      </c>
      <c r="AO46" s="613"/>
      <c r="AP46" s="613" t="str">
        <f>IF(T46="","",T46)</f>
        <v>Источник тепловой энергии  </v>
      </c>
      <c r="AQ46" s="613"/>
      <c r="AR46" s="613"/>
      <c r="AS46" s="1268">
        <v>23</v>
      </c>
    </row>
    <row customHeight="1" ht="49.5">
      <c r="A47" s="1476" t="s">
        <v>225</v>
      </c>
      <c r="B47" s="1476" t="s">
        <v>226</v>
      </c>
      <c r="C47" s="1476" t="s">
        <v>227</v>
      </c>
      <c r="D47" s="1476" t="s">
        <v>228</v>
      </c>
      <c r="E47" s="2372"/>
      <c r="F47" s="2372"/>
      <c r="G47" s="2372"/>
      <c r="H47" s="2372"/>
      <c r="I47" s="2369" t="str">
        <f>S46&amp;".1"</f>
        <v>....1</v>
      </c>
      <c r="J47" s="1476"/>
      <c r="K47" s="1476"/>
      <c r="L47" s="1477" t="s">
        <v>531</v>
      </c>
      <c r="P47" s="2370">
        <v>1</v>
      </c>
      <c r="Q47" s="1333"/>
      <c r="R47" s="469"/>
      <c r="S47" s="1337" t="str">
        <f>$I47</f>
        <v>....1</v>
      </c>
      <c r="T47" s="398" t="s">
        <v>532</v>
      </c>
      <c r="U47" s="413"/>
      <c r="V47" s="2358"/>
      <c r="W47" s="2359"/>
      <c r="X47" s="2359"/>
      <c r="Y47" s="2359"/>
      <c r="Z47" s="2359"/>
      <c r="AA47" s="2359"/>
      <c r="AB47" s="2359"/>
      <c r="AC47" s="2360"/>
      <c r="AD47" s="2358"/>
      <c r="AE47" s="2359"/>
      <c r="AF47" s="2359"/>
      <c r="AG47" s="2359"/>
      <c r="AH47" s="2359"/>
      <c r="AI47" s="2359"/>
      <c r="AJ47" s="2359"/>
      <c r="AK47" s="2359"/>
      <c r="AL47" s="2360"/>
      <c r="AM47" s="1371" t="s">
        <v>533</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225</v>
      </c>
      <c r="B48" s="1476" t="s">
        <v>226</v>
      </c>
      <c r="C48" s="1476" t="s">
        <v>227</v>
      </c>
      <c r="D48" s="1476" t="s">
        <v>228</v>
      </c>
      <c r="E48" s="2372"/>
      <c r="F48" s="2372"/>
      <c r="G48" s="2372"/>
      <c r="H48" s="2372"/>
      <c r="I48" s="2399"/>
      <c r="J48" s="2369" t="str">
        <f>I47&amp;".1"</f>
        <v>....1.1</v>
      </c>
      <c r="K48" s="1476"/>
      <c r="L48" s="1477" t="s">
        <v>534</v>
      </c>
      <c r="P48" s="2370"/>
      <c r="Q48" s="2370">
        <v>1</v>
      </c>
      <c r="R48" s="470"/>
      <c r="S48" s="1337" t="str">
        <f>$J48</f>
        <v>....1.1</v>
      </c>
      <c r="T48" s="399" t="s">
        <v>535</v>
      </c>
      <c r="U48" s="413"/>
      <c r="V48" s="2358"/>
      <c r="W48" s="2359"/>
      <c r="X48" s="2359"/>
      <c r="Y48" s="2359"/>
      <c r="Z48" s="2359"/>
      <c r="AA48" s="2359"/>
      <c r="AB48" s="2359"/>
      <c r="AC48" s="2360"/>
      <c r="AD48" s="2358"/>
      <c r="AE48" s="2359"/>
      <c r="AF48" s="2359"/>
      <c r="AG48" s="2359"/>
      <c r="AH48" s="2359"/>
      <c r="AI48" s="2359"/>
      <c r="AJ48" s="2359"/>
      <c r="AK48" s="2359"/>
      <c r="AL48" s="2360"/>
      <c r="AM48" s="1371" t="s">
        <v>536</v>
      </c>
      <c r="AO48" s="613"/>
      <c r="AP48" s="613" t="str">
        <f>IF(T48="","",T48)</f>
        <v>Группа потребителей</v>
      </c>
      <c r="AQ48" s="613"/>
      <c r="AR48" s="613"/>
      <c r="AS48" s="1268">
        <v>23</v>
      </c>
    </row>
    <row customHeight="1" ht="24">
      <c r="A49" s="1476" t="s">
        <v>225</v>
      </c>
      <c r="B49" s="1476" t="s">
        <v>226</v>
      </c>
      <c r="C49" s="1476" t="s">
        <v>227</v>
      </c>
      <c r="D49" s="1476" t="s">
        <v>228</v>
      </c>
      <c r="E49" s="2372"/>
      <c r="F49" s="2372"/>
      <c r="G49" s="2372"/>
      <c r="H49" s="2372"/>
      <c r="I49" s="2399"/>
      <c r="J49" s="2399"/>
      <c r="K49" s="2369" t="str">
        <f>J48&amp;".1"</f>
        <v>....1.1.1</v>
      </c>
      <c r="L49" s="1477" t="s">
        <v>537</v>
      </c>
      <c r="P49" s="2370"/>
      <c r="Q49" s="2370"/>
      <c r="R49" s="470">
        <v>1</v>
      </c>
      <c r="S49" s="1337"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538</v>
      </c>
      <c r="AN49" s="624">
        <f>STRCHECKDATE(V50:AL50)</f>
      </c>
      <c r="AO49" s="613"/>
      <c r="AP49" s="613" t="str">
        <f>IF(T49="","",T49)</f>
        <v/>
      </c>
      <c r="AQ49" s="613"/>
      <c r="AR49" s="613"/>
      <c r="AS49" s="1268">
        <v>23</v>
      </c>
    </row>
    <row customHeight="1" ht="1.05">
      <c r="A50" s="1476" t="s">
        <v>225</v>
      </c>
      <c r="B50" s="1476" t="s">
        <v>226</v>
      </c>
      <c r="C50" s="1476" t="s">
        <v>227</v>
      </c>
      <c r="D50" s="1476" t="s">
        <v>228</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225</v>
      </c>
      <c r="B51" s="1476" t="s">
        <v>226</v>
      </c>
      <c r="C51" s="1476" t="s">
        <v>227</v>
      </c>
      <c r="D51" s="1476" t="s">
        <v>228</v>
      </c>
      <c r="E51" s="2372"/>
      <c r="F51" s="2372"/>
      <c r="G51" s="2372"/>
      <c r="H51" s="2372"/>
      <c r="I51" s="2399"/>
      <c r="J51" s="2369"/>
      <c r="K51" s="1476"/>
      <c r="L51" s="1477"/>
      <c r="P51" s="2370"/>
      <c r="Q51" s="2370"/>
      <c r="R51" s="469"/>
      <c r="S51" s="1391"/>
      <c r="T51" s="401" t="s">
        <v>539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225</v>
      </c>
      <c r="B52" s="1476" t="s">
        <v>226</v>
      </c>
      <c r="C52" s="1476" t="s">
        <v>227</v>
      </c>
      <c r="D52" s="1476" t="s">
        <v>228</v>
      </c>
      <c r="E52" s="2372"/>
      <c r="F52" s="2372"/>
      <c r="G52" s="2372"/>
      <c r="H52" s="2372"/>
      <c r="I52" s="2369"/>
      <c r="J52" s="1476"/>
      <c r="K52" s="1476"/>
      <c r="L52" s="1477"/>
      <c r="P52" s="2370"/>
      <c r="Q52" s="1333"/>
      <c r="R52" s="469"/>
      <c r="S52" s="1391"/>
      <c r="T52" s="400" t="s">
        <v>540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225</v>
      </c>
      <c r="B53" s="1476" t="s">
        <v>226</v>
      </c>
      <c r="C53" s="1476" t="s">
        <v>227</v>
      </c>
      <c r="D53" s="1476" t="s">
        <v>228</v>
      </c>
      <c r="E53" s="2372"/>
      <c r="F53" s="2372"/>
      <c r="G53" s="2372"/>
      <c r="H53" s="2371"/>
      <c r="I53" s="1476"/>
      <c r="J53" s="1476"/>
      <c r="K53" s="1476"/>
      <c r="L53" s="1477"/>
      <c r="M53" s="1478"/>
      <c r="N53" s="1478"/>
      <c r="O53" s="650"/>
      <c r="P53" s="473"/>
      <c r="Q53" s="488"/>
      <c r="R53" s="468"/>
      <c r="S53" s="1391"/>
      <c r="T53" s="478" t="s">
        <v>541</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8355" customFormat="1" customHeight="1" ht="1.05">
      <c r="A54" s="1456" t="s">
        <v>225</v>
      </c>
      <c r="B54" s="1456" t="s">
        <v>226</v>
      </c>
      <c r="C54" s="1456" t="s">
        <v>227</v>
      </c>
      <c r="D54" s="1427"/>
      <c r="E54" s="2372"/>
      <c r="F54" s="2372"/>
      <c r="G54" s="2371"/>
      <c r="H54" s="1427"/>
      <c r="I54" s="1427"/>
      <c r="J54" s="1427"/>
      <c r="K54" s="1427"/>
      <c r="L54" s="1452"/>
      <c r="M54" s="1428"/>
      <c r="N54" s="1428"/>
      <c r="P54" s="1429"/>
      <c r="Q54" s="1430"/>
      <c r="R54" s="1429"/>
      <c r="S54" s="1435"/>
      <c r="T54" s="1438" t="s">
        <v>542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8355" customFormat="1" customHeight="1" ht="1.05">
      <c r="A55" s="1456" t="s">
        <v>225</v>
      </c>
      <c r="B55" s="1456" t="s">
        <v>226</v>
      </c>
      <c r="C55" s="1427"/>
      <c r="D55" s="1427"/>
      <c r="E55" s="2372"/>
      <c r="F55" s="2371"/>
      <c r="G55" s="1427"/>
      <c r="H55" s="1427"/>
      <c r="I55" s="1427"/>
      <c r="J55" s="1427"/>
      <c r="K55" s="1427"/>
      <c r="L55" s="1452"/>
      <c r="M55" s="1434"/>
      <c r="N55" s="1434"/>
      <c r="P55" s="1429"/>
      <c r="Q55" s="1430"/>
      <c r="R55" s="1429"/>
      <c r="S55" s="1435"/>
      <c r="T55" s="1438" t="s">
        <v>298</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8355" customFormat="1" customHeight="1" ht="1.05">
      <c r="A56" s="1456" t="s">
        <v>225</v>
      </c>
      <c r="B56" s="1456"/>
      <c r="C56" s="1456"/>
      <c r="D56" s="1456"/>
      <c r="E56" s="2371"/>
      <c r="F56" s="1456"/>
      <c r="G56" s="1456"/>
      <c r="H56" s="1456"/>
      <c r="I56" s="1456"/>
      <c r="J56" s="1456"/>
      <c r="K56" s="1456"/>
      <c r="L56" s="1459"/>
      <c r="M56" s="1434"/>
      <c r="N56" s="1434"/>
      <c r="O56" s="631"/>
      <c r="P56" s="493"/>
      <c r="Q56" s="1457"/>
      <c r="R56" s="493"/>
      <c r="S56" s="1435"/>
      <c r="T56" s="1438" t="s">
        <v>355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835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356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B15588-B564-E0E7-485B-8CE64B7A560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354" width="10.57421875" hidden="1"/>
    <col min="2" max="2" style="8354" width="11.00390625" hidden="1" customWidth="1"/>
    <col min="3" max="3" style="8354" width="10.57421875" hidden="1"/>
    <col min="4" max="4" style="8354" width="11.8515625" hidden="1" customWidth="1"/>
    <col min="5" max="5" style="8354" width="10.00390625" hidden="1" customWidth="1"/>
    <col min="6" max="6" style="8354" width="8.7109375" hidden="1" customWidth="1"/>
    <col min="7" max="7" style="8354" width="7.57421875" hidden="1" customWidth="1"/>
    <col min="8" max="8" style="8354" width="11.421875" hidden="1" customWidth="1"/>
    <col min="9" max="9" style="8354" width="12.00390625" hidden="1" customWidth="1"/>
    <col min="10" max="10" style="8354" width="9.8515625" hidden="1" customWidth="1"/>
    <col min="11" max="11" style="8354" width="11.421875" hidden="1" customWidth="1"/>
    <col min="12" max="12" style="9204" width="19.140625" hidden="1" customWidth="1"/>
    <col min="13" max="14" style="9205" width="12.28125" hidden="1" customWidth="1"/>
    <col min="15" max="15" style="9205" width="23.421875" hidden="1" customWidth="1"/>
    <col min="16" max="16" style="9206" width="3.00390625" customWidth="1"/>
    <col min="17" max="18" style="9207" width="3.00390625" customWidth="1"/>
    <col min="19" max="19" style="9208" width="12.00390625" customWidth="1"/>
    <col min="20" max="20" style="8273" width="31.00390625" customWidth="1"/>
    <col min="21" max="21" style="8273" width="0.140625" customWidth="1"/>
    <col min="22" max="22" style="8273" width="24.7109375" hidden="1" customWidth="1"/>
    <col min="23" max="23" style="8273" width="0.140625" hidden="1" customWidth="1"/>
    <col min="24" max="25" style="8273" width="24.7109375" hidden="1" customWidth="1"/>
    <col min="26" max="26" style="8273" width="11.7109375" hidden="1" customWidth="1"/>
    <col min="27" max="27" style="8273" width="3.7109375" hidden="1" customWidth="1"/>
    <col min="28" max="28" style="8273" width="11.7109375" hidden="1" customWidth="1"/>
    <col min="29" max="29" style="8273" width="8.57421875" hidden="1" customWidth="1"/>
    <col min="30" max="30" style="8273" width="24.7109375" customWidth="1"/>
    <col min="31" max="31" style="8273" width="0.140625" customWidth="1"/>
    <col min="32" max="33" style="8273" width="24.00390625" customWidth="1"/>
    <col min="34" max="34" style="8273" width="11.00390625" customWidth="1"/>
    <col min="35" max="35" style="8273" width="3.7109375" customWidth="1"/>
    <col min="36" max="36" style="8273" width="11.00390625" customWidth="1"/>
    <col min="37" max="37" style="8273" width="8.57421875" hidden="1" customWidth="1"/>
    <col min="38" max="38" style="8273" width="4.00390625" customWidth="1"/>
    <col min="39" max="39" style="8273" width="115.00390625" customWidth="1"/>
    <col min="40" max="44" style="8355" width="10.00390625" customWidth="1"/>
    <col min="45" max="45" style="8273"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198</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524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525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526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527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528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529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530</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531</v>
      </c>
      <c r="M6" s="650"/>
      <c r="P6" s="2370">
        <v>1</v>
      </c>
      <c r="Q6" s="1444"/>
      <c r="R6" s="469"/>
      <c r="S6" s="1449">
        <f>$I6</f>
      </c>
      <c r="T6" s="398" t="s">
        <v>532</v>
      </c>
      <c r="U6" s="413"/>
      <c r="V6" s="2358"/>
      <c r="W6" s="2359"/>
      <c r="X6" s="2359"/>
      <c r="Y6" s="2359"/>
      <c r="Z6" s="2359"/>
      <c r="AA6" s="2359"/>
      <c r="AB6" s="2359"/>
      <c r="AC6" s="2360"/>
      <c r="AD6" s="2358"/>
      <c r="AE6" s="2359"/>
      <c r="AF6" s="2359"/>
      <c r="AG6" s="2359"/>
      <c r="AH6" s="2359"/>
      <c r="AI6" s="2359"/>
      <c r="AJ6" s="2359"/>
      <c r="AK6" s="2359"/>
      <c r="AL6" s="2360"/>
      <c r="AM6" s="1371" t="s">
        <v>533</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534</v>
      </c>
      <c r="M7" s="650"/>
      <c r="N7" s="1479"/>
      <c r="P7" s="2370"/>
      <c r="Q7" s="2370">
        <v>1</v>
      </c>
      <c r="R7" s="470"/>
      <c r="S7" s="1449">
        <f>$J7</f>
      </c>
      <c r="T7" s="399" t="s">
        <v>535</v>
      </c>
      <c r="U7" s="413"/>
      <c r="V7" s="2358"/>
      <c r="W7" s="2359"/>
      <c r="X7" s="2359"/>
      <c r="Y7" s="2359"/>
      <c r="Z7" s="2359"/>
      <c r="AA7" s="2359"/>
      <c r="AB7" s="2359"/>
      <c r="AC7" s="2360"/>
      <c r="AD7" s="2358"/>
      <c r="AE7" s="2359"/>
      <c r="AF7" s="2359"/>
      <c r="AG7" s="2359"/>
      <c r="AH7" s="2359"/>
      <c r="AI7" s="2359"/>
      <c r="AJ7" s="2359"/>
      <c r="AK7" s="2359"/>
      <c r="AL7" s="2360"/>
      <c r="AM7" s="1371" t="s">
        <v>536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537</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538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539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540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541</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835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542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835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298</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835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355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8354" customFormat="1" customHeight="1" ht="22.5" hidden="1">
      <c r="L20" s="1442"/>
      <c r="M20" s="1475"/>
      <c r="N20" s="1475"/>
      <c r="O20" s="1480" t="s">
        <v>543</v>
      </c>
      <c r="P20" s="1475"/>
      <c r="Q20" s="1484"/>
      <c r="R20" s="1484"/>
      <c r="S20" s="842"/>
      <c r="Z20" s="1480"/>
      <c r="AB20" s="1480"/>
      <c r="AC20" s="1479"/>
      <c r="AH20" s="1480"/>
      <c r="AJ20" s="1480"/>
      <c r="AK20" s="1479"/>
      <c r="AN20" s="624"/>
      <c r="AO20" s="624"/>
      <c r="AP20" s="624"/>
      <c r="AQ20" s="624"/>
      <c r="AR20" s="624"/>
      <c r="AS20" s="1273">
        <v>0</v>
      </c>
    </row>
    <row s="8354" customFormat="1" customHeight="1" ht="14.25" hidden="1">
      <c r="L21" s="1442"/>
      <c r="M21" s="1475"/>
      <c r="N21" s="1475"/>
      <c r="O21" s="1475"/>
      <c r="P21" s="1475"/>
      <c r="Q21" s="1484"/>
      <c r="R21" s="1484"/>
      <c r="S21" s="842"/>
      <c r="AC21" s="1479"/>
      <c r="AK21" s="1479"/>
      <c r="AN21" s="624"/>
      <c r="AO21" s="624"/>
      <c r="AP21" s="624"/>
      <c r="AQ21" s="624"/>
      <c r="AR21" s="624"/>
      <c r="AS21" s="1273">
        <v>0</v>
      </c>
    </row>
    <row s="8354" customFormat="1" customHeight="1" ht="14.25" hidden="1">
      <c r="L22" s="1442"/>
      <c r="M22" s="1475"/>
      <c r="N22" s="1475"/>
      <c r="O22" s="1477" t="s">
        <v>544</v>
      </c>
      <c r="P22" s="1475"/>
      <c r="Q22" s="1484"/>
      <c r="R22" s="1484"/>
      <c r="S22" s="842"/>
      <c r="T22" s="1273" t="s">
        <v>545</v>
      </c>
      <c r="AA22" s="299" t="s">
        <v>546</v>
      </c>
      <c r="AC22" s="299" t="s">
        <v>547</v>
      </c>
      <c r="AD22" s="1273" t="s">
        <v>545</v>
      </c>
      <c r="AI22" s="299" t="s">
        <v>548</v>
      </c>
      <c r="AK22" s="299" t="s">
        <v>547</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МУП ЖКХ "Родник"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8491"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8491" customFormat="1" customHeight="1" ht="18.75" hidden="1">
      <c r="A30" s="1481"/>
      <c r="B30" s="1481"/>
      <c r="C30" s="1481"/>
      <c r="D30" s="1481"/>
      <c r="E30" s="1481"/>
      <c r="F30" s="1481"/>
      <c r="G30" s="1481"/>
      <c r="H30" s="1481"/>
      <c r="I30" s="1481"/>
      <c r="J30" s="1481"/>
      <c r="K30" s="1481"/>
      <c r="L30" s="1482"/>
      <c r="M30" s="1481"/>
      <c r="N30" s="1481"/>
      <c r="O30" s="1481"/>
      <c r="S30" s="2363" t="s">
        <v>549</v>
      </c>
      <c r="T30" s="2363"/>
      <c r="U30" s="1485"/>
      <c r="V30" s="2377" t="str">
        <f>IF(TITLE_DATE_PR_CHANGE="",IF(TITLE_DATE_PR="","",TITLE_DATE_PR),TITLE_DATE_PR_CHANGE)</f>
        <v>45586</v>
      </c>
      <c r="W30" s="2377"/>
      <c r="X30" s="2377"/>
      <c r="Y30" s="2377"/>
      <c r="Z30" s="2377"/>
      <c r="AA30" s="2377"/>
      <c r="AB30" s="2377"/>
      <c r="AC30" s="439"/>
      <c r="AD30" s="2377" t="str">
        <f>IF(TITLE_DATE_PR_CHANGE="",IF(TITLE_DATE_PR="","",TITLE_DATE_PR),TITLE_DATE_PR_CHANGE)</f>
        <v>45586</v>
      </c>
      <c r="AE30" s="2377"/>
      <c r="AF30" s="2377"/>
      <c r="AG30" s="2377"/>
      <c r="AH30" s="2377"/>
      <c r="AI30" s="2377"/>
      <c r="AJ30" s="2377"/>
      <c r="AK30" s="439"/>
      <c r="AL30" s="439"/>
      <c r="AM30" s="393"/>
      <c r="AN30" s="481"/>
      <c r="AO30" s="481"/>
      <c r="AP30" s="481"/>
      <c r="AQ30" s="481"/>
      <c r="AR30" s="481"/>
      <c r="AS30" s="531">
        <v>0</v>
      </c>
    </row>
    <row s="8491" customFormat="1" customHeight="1" ht="18.75" hidden="1">
      <c r="A31" s="1481"/>
      <c r="B31" s="1481"/>
      <c r="C31" s="1481"/>
      <c r="D31" s="1481"/>
      <c r="E31" s="1481"/>
      <c r="F31" s="1481"/>
      <c r="G31" s="1481"/>
      <c r="H31" s="1481"/>
      <c r="I31" s="1481"/>
      <c r="J31" s="1481"/>
      <c r="K31" s="1481"/>
      <c r="L31" s="1482"/>
      <c r="M31" s="1481"/>
      <c r="N31" s="1481"/>
      <c r="O31" s="1481"/>
      <c r="S31" s="2363" t="s">
        <v>550</v>
      </c>
      <c r="T31" s="2363"/>
      <c r="U31" s="1485"/>
      <c r="V31" s="2364" t="str">
        <f>IF(TITLE_NUMBER_PR_CHANGE="",IF(TITLE_NUMBER_PR="","",TITLE_NUMBER_PR),TITLE_NUMBER_PR_CHANGE)</f>
        <v>1577</v>
      </c>
      <c r="W31" s="2364"/>
      <c r="X31" s="2364"/>
      <c r="Y31" s="2364"/>
      <c r="Z31" s="2364"/>
      <c r="AA31" s="2364"/>
      <c r="AB31" s="2364"/>
      <c r="AC31" s="439"/>
      <c r="AD31" s="2364" t="str">
        <f>IF(TITLE_NUMBER_PR_CHANGE="",IF(TITLE_NUMBER_PR="","",TITLE_NUMBER_PR),TITLE_NUMBER_PR_CHANGE)</f>
        <v>1577</v>
      </c>
      <c r="AE31" s="2364"/>
      <c r="AF31" s="2364"/>
      <c r="AG31" s="2364"/>
      <c r="AH31" s="2364"/>
      <c r="AI31" s="2364"/>
      <c r="AJ31" s="2364"/>
      <c r="AK31" s="439"/>
      <c r="AL31" s="439"/>
      <c r="AM31" s="393"/>
      <c r="AN31" s="481"/>
      <c r="AO31" s="481"/>
      <c r="AP31" s="481"/>
      <c r="AQ31" s="481"/>
      <c r="AR31" s="481"/>
      <c r="AS31" s="531">
        <v>0</v>
      </c>
    </row>
    <row s="8491"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8491" customFormat="1" customHeight="1" ht="18.75">
      <c r="A34" s="1481"/>
      <c r="B34" s="1481"/>
      <c r="C34" s="1481"/>
      <c r="D34" s="1481"/>
      <c r="E34" s="1481"/>
      <c r="F34" s="1481"/>
      <c r="G34" s="1481"/>
      <c r="H34" s="1481"/>
      <c r="I34" s="1481"/>
      <c r="J34" s="1481"/>
      <c r="K34" s="1481"/>
      <c r="L34" s="1482"/>
      <c r="M34" s="1481"/>
      <c r="N34" s="1481"/>
      <c r="O34" s="1481"/>
      <c r="S34" s="2363" t="s">
        <v>551</v>
      </c>
      <c r="T34" s="2363"/>
      <c r="U34" s="1485"/>
      <c r="V34" s="2377" t="str">
        <f>IF(TITLE_DATE_PR_CHANGE="",IF(TITLE_DATE_PR="","",TITLE_DATE_PR),TITLE_DATE_PR_CHANGE)</f>
        <v>45586</v>
      </c>
      <c r="W34" s="2377"/>
      <c r="X34" s="2377"/>
      <c r="Y34" s="2377"/>
      <c r="Z34" s="2377"/>
      <c r="AA34" s="2377"/>
      <c r="AB34" s="2377"/>
      <c r="AC34" s="439"/>
      <c r="AD34" s="2377" t="str">
        <f>IF(TITLE_DATE_PR_CHANGE="",IF(TITLE_DATE_PR="","",TITLE_DATE_PR),TITLE_DATE_PR_CHANGE)</f>
        <v>45586</v>
      </c>
      <c r="AE34" s="2377"/>
      <c r="AF34" s="2377"/>
      <c r="AG34" s="2377"/>
      <c r="AH34" s="2377"/>
      <c r="AI34" s="2377"/>
      <c r="AJ34" s="2377"/>
      <c r="AK34" s="439"/>
      <c r="AL34" s="439"/>
      <c r="AM34" s="393"/>
      <c r="AN34" s="481"/>
      <c r="AO34" s="481"/>
      <c r="AP34" s="481"/>
      <c r="AQ34" s="481"/>
      <c r="AR34" s="481"/>
      <c r="AS34" s="531">
        <v>0</v>
      </c>
    </row>
    <row s="8491" customFormat="1" customHeight="1" ht="18.75">
      <c r="A35" s="1481"/>
      <c r="B35" s="1481"/>
      <c r="C35" s="1481"/>
      <c r="D35" s="1481"/>
      <c r="E35" s="1481"/>
      <c r="F35" s="1481"/>
      <c r="G35" s="1481"/>
      <c r="H35" s="1481"/>
      <c r="I35" s="1481"/>
      <c r="J35" s="1481"/>
      <c r="K35" s="1481"/>
      <c r="L35" s="1482"/>
      <c r="M35" s="1481"/>
      <c r="N35" s="1481"/>
      <c r="O35" s="1481"/>
      <c r="S35" s="2363" t="s">
        <v>552</v>
      </c>
      <c r="T35" s="2363"/>
      <c r="U35" s="1485"/>
      <c r="V35" s="2364" t="str">
        <f>IF(TITLE_NUMBER_PR_CHANGE="",IF(TITLE_NUMBER_PR="","",TITLE_NUMBER_PR),TITLE_NUMBER_PR_CHANGE)</f>
        <v>1577</v>
      </c>
      <c r="W35" s="2364"/>
      <c r="X35" s="2364"/>
      <c r="Y35" s="2364"/>
      <c r="Z35" s="2364"/>
      <c r="AA35" s="2364"/>
      <c r="AB35" s="2364"/>
      <c r="AC35" s="439"/>
      <c r="AD35" s="2364" t="str">
        <f>IF(TITLE_NUMBER_PR_CHANGE="",IF(TITLE_NUMBER_PR="","",TITLE_NUMBER_PR),TITLE_NUMBER_PR_CHANGE)</f>
        <v>1577</v>
      </c>
      <c r="AE35" s="2364"/>
      <c r="AF35" s="2364"/>
      <c r="AG35" s="2364"/>
      <c r="AH35" s="2364"/>
      <c r="AI35" s="2364"/>
      <c r="AJ35" s="2364"/>
      <c r="AK35" s="439"/>
      <c r="AL35" s="439"/>
      <c r="AM35" s="393"/>
      <c r="AN35" s="481"/>
      <c r="AO35" s="481"/>
      <c r="AP35" s="481"/>
      <c r="AQ35" s="481"/>
      <c r="AR35" s="481"/>
      <c r="AS35" s="531">
        <v>0</v>
      </c>
    </row>
    <row s="849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553</v>
      </c>
      <c r="AD36" s="439"/>
      <c r="AE36" s="439"/>
      <c r="AF36" s="439"/>
      <c r="AG36" s="439"/>
      <c r="AH36" s="439"/>
      <c r="AI36" s="439"/>
      <c r="AJ36" s="439"/>
      <c r="AK36" s="391" t="s">
        <v>553</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428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429</v>
      </c>
      <c r="AS38" s="1268">
        <v>14</v>
      </c>
    </row>
    <row customHeight="1" ht="14.699999999999998">
      <c r="Q39" s="489"/>
      <c r="R39" s="489"/>
      <c r="S39" s="2386" t="s">
        <v>88</v>
      </c>
      <c r="T39" s="2322" t="s">
        <v>554</v>
      </c>
      <c r="U39" s="414"/>
      <c r="V39" s="2387" t="s">
        <v>555</v>
      </c>
      <c r="W39" s="2388"/>
      <c r="X39" s="2388"/>
      <c r="Y39" s="2388"/>
      <c r="Z39" s="2388"/>
      <c r="AA39" s="2388"/>
      <c r="AB39" s="2389"/>
      <c r="AC39" s="2390" t="s">
        <v>556</v>
      </c>
      <c r="AD39" s="2387" t="s">
        <v>555</v>
      </c>
      <c r="AE39" s="2388"/>
      <c r="AF39" s="2388"/>
      <c r="AG39" s="2388"/>
      <c r="AH39" s="2388"/>
      <c r="AI39" s="2388"/>
      <c r="AJ39" s="2389"/>
      <c r="AK39" s="2390" t="s">
        <v>557</v>
      </c>
      <c r="AL39" s="2393" t="s">
        <v>558</v>
      </c>
      <c r="AM39" s="2240"/>
      <c r="AS39" s="1268">
        <v>14</v>
      </c>
    </row>
    <row customHeight="1" ht="35.699999999999996">
      <c r="Q40" s="489"/>
      <c r="R40" s="489"/>
      <c r="S40" s="2386"/>
      <c r="T40" s="2322"/>
      <c r="U40" s="1144"/>
      <c r="V40" s="2373" t="s">
        <v>559</v>
      </c>
      <c r="W40" s="2396" t="s">
        <v>560</v>
      </c>
      <c r="X40" s="2375" t="s">
        <v>561</v>
      </c>
      <c r="Y40" s="2376"/>
      <c r="Z40" s="2375" t="s">
        <v>574</v>
      </c>
      <c r="AA40" s="2382"/>
      <c r="AB40" s="2376"/>
      <c r="AC40" s="2391"/>
      <c r="AD40" s="2373" t="s">
        <v>559</v>
      </c>
      <c r="AE40" s="2396" t="s">
        <v>560</v>
      </c>
      <c r="AF40" s="2375" t="s">
        <v>561</v>
      </c>
      <c r="AG40" s="2376"/>
      <c r="AH40" s="2375" t="s">
        <v>562</v>
      </c>
      <c r="AI40" s="2382"/>
      <c r="AJ40" s="2376"/>
      <c r="AK40" s="2391"/>
      <c r="AL40" s="2394"/>
      <c r="AM40" s="2240"/>
      <c r="AS40" s="1268">
        <v>34</v>
      </c>
    </row>
    <row customHeight="1" ht="35.699999999999996">
      <c r="A41" s="1483"/>
      <c r="B41" s="1483" t="s">
        <v>210</v>
      </c>
      <c r="C41" s="1483" t="s">
        <v>211</v>
      </c>
      <c r="D41" s="1483" t="s">
        <v>212</v>
      </c>
      <c r="E41" s="1477" t="s">
        <v>563</v>
      </c>
      <c r="F41" s="1477" t="s">
        <v>564</v>
      </c>
      <c r="G41" s="1477" t="s">
        <v>565</v>
      </c>
      <c r="H41" s="1477" t="s">
        <v>566</v>
      </c>
      <c r="I41" s="1477" t="s">
        <v>567</v>
      </c>
      <c r="J41" s="1477" t="s">
        <v>568</v>
      </c>
      <c r="K41" s="1477" t="s">
        <v>569</v>
      </c>
      <c r="L41" s="1477" t="s">
        <v>544</v>
      </c>
      <c r="Q41" s="489"/>
      <c r="R41" s="489"/>
      <c r="S41" s="2386"/>
      <c r="T41" s="2322"/>
      <c r="U41" s="415"/>
      <c r="V41" s="2374"/>
      <c r="W41" s="2397"/>
      <c r="X41" s="1335" t="s">
        <v>570</v>
      </c>
      <c r="Y41" s="1335" t="s">
        <v>571</v>
      </c>
      <c r="Z41" s="1451" t="s">
        <v>572</v>
      </c>
      <c r="AA41" s="2383" t="s">
        <v>573</v>
      </c>
      <c r="AB41" s="2384"/>
      <c r="AC41" s="2392"/>
      <c r="AD41" s="2374"/>
      <c r="AE41" s="2397"/>
      <c r="AF41" s="1335" t="s">
        <v>570</v>
      </c>
      <c r="AG41" s="1335" t="s">
        <v>571</v>
      </c>
      <c r="AH41" s="1451" t="s">
        <v>572</v>
      </c>
      <c r="AI41" s="2383" t="s">
        <v>573</v>
      </c>
      <c r="AJ41" s="2384"/>
      <c r="AK41" s="2392"/>
      <c r="AL41" s="2395"/>
      <c r="AM41" s="2240"/>
      <c r="AS41" s="1268">
        <v>34</v>
      </c>
    </row>
    <row s="896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187</v>
      </c>
      <c r="T42" s="1368" t="s">
        <v>104</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230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198</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230</v>
      </c>
      <c r="B44" s="1476" t="s">
        <v>231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525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526</v>
      </c>
      <c r="AO44" s="613"/>
      <c r="AP44" s="613" t="str">
        <f>IF(T44="","",T44)</f>
        <v>Территория действия тарифа</v>
      </c>
      <c r="AQ44" s="613"/>
      <c r="AR44" s="613"/>
      <c r="AS44" s="1268">
        <v>21</v>
      </c>
    </row>
    <row customHeight="1" ht="24">
      <c r="A45" s="1476" t="s">
        <v>230</v>
      </c>
      <c r="B45" s="1476" t="s">
        <v>231</v>
      </c>
      <c r="C45" s="1476" t="s">
        <v>232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527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528</v>
      </c>
      <c r="AO45" s="613"/>
      <c r="AP45" s="613" t="str">
        <f>IF(T45="","",T45)</f>
        <v>Наименование системы теплоснабжения </v>
      </c>
      <c r="AQ45" s="613"/>
      <c r="AR45" s="613"/>
      <c r="AS45" s="1268">
        <v>23</v>
      </c>
    </row>
    <row customHeight="1" ht="22.049999999999997">
      <c r="A46" s="1476" t="s">
        <v>230</v>
      </c>
      <c r="B46" s="1476" t="s">
        <v>231</v>
      </c>
      <c r="C46" s="1476" t="s">
        <v>232</v>
      </c>
      <c r="D46" s="1476" t="s">
        <v>233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529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530</v>
      </c>
      <c r="AO46" s="613"/>
      <c r="AP46" s="613" t="str">
        <f>IF(T46="","",T46)</f>
        <v>Источник тепловой энергии  </v>
      </c>
      <c r="AQ46" s="613"/>
      <c r="AR46" s="613"/>
      <c r="AS46" s="1268">
        <v>21</v>
      </c>
    </row>
    <row customHeight="1" ht="49.5">
      <c r="A47" s="1476" t="s">
        <v>230</v>
      </c>
      <c r="B47" s="1476" t="s">
        <v>231</v>
      </c>
      <c r="C47" s="1476" t="s">
        <v>232</v>
      </c>
      <c r="D47" s="1476" t="s">
        <v>233</v>
      </c>
      <c r="E47" s="2372"/>
      <c r="F47" s="2372"/>
      <c r="G47" s="2372"/>
      <c r="H47" s="2372"/>
      <c r="I47" s="2369" t="str">
        <f>S46&amp;".1"</f>
        <v>....1</v>
      </c>
      <c r="J47" s="1476"/>
      <c r="K47" s="1476"/>
      <c r="L47" s="1477" t="s">
        <v>531</v>
      </c>
      <c r="P47" s="2370">
        <v>1</v>
      </c>
      <c r="Q47" s="1444"/>
      <c r="R47" s="469"/>
      <c r="S47" s="1449" t="str">
        <f>$I47</f>
        <v>....1</v>
      </c>
      <c r="T47" s="398" t="s">
        <v>532</v>
      </c>
      <c r="U47" s="413"/>
      <c r="V47" s="2358"/>
      <c r="W47" s="2359"/>
      <c r="X47" s="2359"/>
      <c r="Y47" s="2359"/>
      <c r="Z47" s="2359"/>
      <c r="AA47" s="2359"/>
      <c r="AB47" s="2359"/>
      <c r="AC47" s="2360"/>
      <c r="AD47" s="2358"/>
      <c r="AE47" s="2359"/>
      <c r="AF47" s="2359"/>
      <c r="AG47" s="2359"/>
      <c r="AH47" s="2359"/>
      <c r="AI47" s="2359"/>
      <c r="AJ47" s="2359"/>
      <c r="AK47" s="2359"/>
      <c r="AL47" s="2360"/>
      <c r="AM47" s="1371" t="s">
        <v>533</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230</v>
      </c>
      <c r="B48" s="1476" t="s">
        <v>231</v>
      </c>
      <c r="C48" s="1476" t="s">
        <v>232</v>
      </c>
      <c r="D48" s="1476" t="s">
        <v>233</v>
      </c>
      <c r="E48" s="2372"/>
      <c r="F48" s="2372"/>
      <c r="G48" s="2372"/>
      <c r="H48" s="2372"/>
      <c r="I48" s="2399"/>
      <c r="J48" s="2369" t="str">
        <f>I47&amp;".1"</f>
        <v>....1.1</v>
      </c>
      <c r="K48" s="1476"/>
      <c r="L48" s="1477" t="s">
        <v>534</v>
      </c>
      <c r="P48" s="2370"/>
      <c r="Q48" s="2370">
        <v>1</v>
      </c>
      <c r="R48" s="470"/>
      <c r="S48" s="1449" t="str">
        <f>$J48</f>
        <v>....1.1</v>
      </c>
      <c r="T48" s="399" t="s">
        <v>535</v>
      </c>
      <c r="U48" s="413"/>
      <c r="V48" s="2358"/>
      <c r="W48" s="2359"/>
      <c r="X48" s="2359"/>
      <c r="Y48" s="2359"/>
      <c r="Z48" s="2359"/>
      <c r="AA48" s="2359"/>
      <c r="AB48" s="2359"/>
      <c r="AC48" s="2360"/>
      <c r="AD48" s="2358"/>
      <c r="AE48" s="2359"/>
      <c r="AF48" s="2359"/>
      <c r="AG48" s="2359"/>
      <c r="AH48" s="2359"/>
      <c r="AI48" s="2359"/>
      <c r="AJ48" s="2359"/>
      <c r="AK48" s="2359"/>
      <c r="AL48" s="2360"/>
      <c r="AM48" s="1371" t="s">
        <v>536</v>
      </c>
      <c r="AO48" s="613"/>
      <c r="AP48" s="613" t="str">
        <f>IF(T48="","",T48)</f>
        <v>Группа потребителей</v>
      </c>
      <c r="AQ48" s="613"/>
      <c r="AR48" s="613"/>
      <c r="AS48" s="1268">
        <v>21</v>
      </c>
    </row>
    <row customHeight="1" ht="22.049999999999997">
      <c r="A49" s="1476" t="s">
        <v>230</v>
      </c>
      <c r="B49" s="1476" t="s">
        <v>231</v>
      </c>
      <c r="C49" s="1476" t="s">
        <v>232</v>
      </c>
      <c r="D49" s="1476" t="s">
        <v>233</v>
      </c>
      <c r="E49" s="2372"/>
      <c r="F49" s="2372"/>
      <c r="G49" s="2372"/>
      <c r="H49" s="2372"/>
      <c r="I49" s="2399"/>
      <c r="J49" s="2399"/>
      <c r="K49" s="2369" t="str">
        <f>J48&amp;".1"</f>
        <v>....1.1.1</v>
      </c>
      <c r="L49" s="1477" t="s">
        <v>537</v>
      </c>
      <c r="P49" s="2370"/>
      <c r="Q49" s="2370"/>
      <c r="R49" s="470">
        <v>1</v>
      </c>
      <c r="S49" s="1449"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538</v>
      </c>
      <c r="AN49" s="624">
        <f>STRCHECKDATE(V50:AL50)</f>
      </c>
      <c r="AO49" s="613"/>
      <c r="AP49" s="613" t="str">
        <f>IF(T49="","",T49)</f>
        <v/>
      </c>
      <c r="AQ49" s="613"/>
      <c r="AR49" s="613"/>
      <c r="AS49" s="1268">
        <v>21</v>
      </c>
    </row>
    <row customHeight="1" ht="1.05">
      <c r="A50" s="1476" t="s">
        <v>230</v>
      </c>
      <c r="B50" s="1476" t="s">
        <v>231</v>
      </c>
      <c r="C50" s="1476" t="s">
        <v>232</v>
      </c>
      <c r="D50" s="1476" t="s">
        <v>233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230</v>
      </c>
      <c r="B51" s="1476" t="s">
        <v>231</v>
      </c>
      <c r="C51" s="1476" t="s">
        <v>232</v>
      </c>
      <c r="D51" s="1476" t="s">
        <v>233</v>
      </c>
      <c r="E51" s="2372"/>
      <c r="F51" s="2372"/>
      <c r="G51" s="2372"/>
      <c r="H51" s="2372"/>
      <c r="I51" s="2399"/>
      <c r="J51" s="2369"/>
      <c r="K51" s="1476"/>
      <c r="L51" s="1477"/>
      <c r="P51" s="2370"/>
      <c r="Q51" s="2370"/>
      <c r="R51" s="469"/>
      <c r="S51" s="1391"/>
      <c r="T51" s="401" t="s">
        <v>539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230</v>
      </c>
      <c r="B52" s="1476" t="s">
        <v>231</v>
      </c>
      <c r="C52" s="1476" t="s">
        <v>232</v>
      </c>
      <c r="D52" s="1476" t="s">
        <v>233</v>
      </c>
      <c r="E52" s="2372"/>
      <c r="F52" s="2372"/>
      <c r="G52" s="2372"/>
      <c r="H52" s="2372"/>
      <c r="I52" s="2369"/>
      <c r="J52" s="1476"/>
      <c r="K52" s="1476"/>
      <c r="L52" s="1477"/>
      <c r="P52" s="2370"/>
      <c r="Q52" s="1444"/>
      <c r="R52" s="469"/>
      <c r="S52" s="1391"/>
      <c r="T52" s="400" t="s">
        <v>540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230</v>
      </c>
      <c r="B53" s="1476" t="s">
        <v>231</v>
      </c>
      <c r="C53" s="1476" t="s">
        <v>232</v>
      </c>
      <c r="D53" s="1476" t="s">
        <v>233</v>
      </c>
      <c r="E53" s="2372"/>
      <c r="F53" s="2372"/>
      <c r="G53" s="2372"/>
      <c r="H53" s="2371"/>
      <c r="I53" s="1476"/>
      <c r="J53" s="1476"/>
      <c r="K53" s="1476"/>
      <c r="L53" s="1477"/>
      <c r="M53" s="1478"/>
      <c r="N53" s="1478"/>
      <c r="O53" s="650"/>
      <c r="P53" s="473"/>
      <c r="Q53" s="488"/>
      <c r="R53" s="468"/>
      <c r="S53" s="1391"/>
      <c r="T53" s="478" t="s">
        <v>541</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8355" customFormat="1" customHeight="1" ht="1.05">
      <c r="A54" s="1456" t="s">
        <v>230</v>
      </c>
      <c r="B54" s="1456" t="s">
        <v>231</v>
      </c>
      <c r="C54" s="1456" t="s">
        <v>232</v>
      </c>
      <c r="D54" s="1427"/>
      <c r="E54" s="2372"/>
      <c r="F54" s="2372"/>
      <c r="G54" s="2371"/>
      <c r="H54" s="1427"/>
      <c r="I54" s="1427"/>
      <c r="J54" s="1427"/>
      <c r="K54" s="1427"/>
      <c r="L54" s="1452"/>
      <c r="M54" s="1428"/>
      <c r="N54" s="1428"/>
      <c r="P54" s="1429"/>
      <c r="Q54" s="1430"/>
      <c r="R54" s="1429"/>
      <c r="S54" s="1435"/>
      <c r="T54" s="1438" t="s">
        <v>542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8355" customFormat="1" customHeight="1" ht="1.05">
      <c r="A55" s="1456" t="s">
        <v>230</v>
      </c>
      <c r="B55" s="1456" t="s">
        <v>231</v>
      </c>
      <c r="C55" s="1427"/>
      <c r="D55" s="1427"/>
      <c r="E55" s="2372"/>
      <c r="F55" s="2371"/>
      <c r="G55" s="1427"/>
      <c r="H55" s="1427"/>
      <c r="I55" s="1427"/>
      <c r="J55" s="1427"/>
      <c r="K55" s="1427"/>
      <c r="L55" s="1452"/>
      <c r="M55" s="1434"/>
      <c r="N55" s="1434"/>
      <c r="P55" s="1429"/>
      <c r="Q55" s="1430"/>
      <c r="R55" s="1429"/>
      <c r="S55" s="1435"/>
      <c r="T55" s="1438" t="s">
        <v>298</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8355" customFormat="1" customHeight="1" ht="1.05">
      <c r="A56" s="1456" t="s">
        <v>230</v>
      </c>
      <c r="B56" s="1456"/>
      <c r="C56" s="1456"/>
      <c r="D56" s="1456"/>
      <c r="E56" s="2371"/>
      <c r="F56" s="1456"/>
      <c r="G56" s="1456"/>
      <c r="H56" s="1456"/>
      <c r="I56" s="1456"/>
      <c r="J56" s="1456"/>
      <c r="K56" s="1456"/>
      <c r="L56" s="1459"/>
      <c r="M56" s="1434"/>
      <c r="N56" s="1434"/>
      <c r="O56" s="631"/>
      <c r="P56" s="493"/>
      <c r="Q56" s="1457"/>
      <c r="R56" s="493"/>
      <c r="S56" s="1435"/>
      <c r="T56" s="1438" t="s">
        <v>355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835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356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33D625-01F6-D422-DEA4-5F76ED9A99A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73" width="10.57421875" hidden="1"/>
    <col min="2" max="2" style="8273" width="11.00390625" hidden="1" customWidth="1"/>
    <col min="3" max="3" style="8273" width="10.57421875" hidden="1"/>
    <col min="4" max="4" style="8273" width="11.8515625" hidden="1" customWidth="1"/>
    <col min="5" max="5" style="8273" width="10.00390625" hidden="1" customWidth="1"/>
    <col min="6" max="6" style="8273" width="8.7109375" hidden="1" customWidth="1"/>
    <col min="7" max="7" style="8273" width="7.57421875" hidden="1" customWidth="1"/>
    <col min="8" max="8" style="8273" width="11.421875" hidden="1" customWidth="1"/>
    <col min="9" max="9" style="8273" width="12.00390625" hidden="1" customWidth="1"/>
    <col min="10" max="10" style="8273" width="9.8515625" hidden="1" customWidth="1"/>
    <col min="11" max="11" style="8273" width="11.421875" hidden="1" customWidth="1"/>
    <col min="12" max="12" style="8352" width="19.140625" hidden="1" customWidth="1"/>
    <col min="13" max="14" style="9206" width="12.28125" hidden="1" customWidth="1"/>
    <col min="15" max="15" style="9206" width="23.421875" hidden="1" customWidth="1"/>
    <col min="16" max="16" style="9206" width="3.00390625" customWidth="1"/>
    <col min="17" max="18" style="9207" width="3.00390625" customWidth="1"/>
    <col min="19" max="19" style="9208" width="12.00390625" customWidth="1"/>
    <col min="20" max="20" style="8273" width="31.00390625" customWidth="1"/>
    <col min="21" max="21" style="8273" width="0.140625" customWidth="1"/>
    <col min="22" max="22" style="8273" width="24.7109375" hidden="1" customWidth="1"/>
    <col min="23" max="23" style="8273" width="0.140625" hidden="1" customWidth="1"/>
    <col min="24" max="25" style="8273" width="24.7109375" hidden="1" customWidth="1"/>
    <col min="26" max="26" style="8273" width="11.7109375" hidden="1" customWidth="1"/>
    <col min="27" max="27" style="8273" width="3.7109375" hidden="1" customWidth="1"/>
    <col min="28" max="28" style="8273" width="11.7109375" hidden="1" customWidth="1"/>
    <col min="29" max="29" style="8273" width="8.57421875" hidden="1" customWidth="1"/>
    <col min="30" max="30" style="8273" width="24.7109375" customWidth="1"/>
    <col min="31" max="31" style="8273" width="0.140625" customWidth="1"/>
    <col min="32" max="33" style="8273" width="24.00390625" customWidth="1"/>
    <col min="34" max="34" style="8273" width="11.00390625" customWidth="1"/>
    <col min="35" max="35" style="8273" width="3.7109375" customWidth="1"/>
    <col min="36" max="36" style="8273" width="11.00390625" customWidth="1"/>
    <col min="37" max="37" style="8273" width="8.57421875" hidden="1" customWidth="1"/>
    <col min="38" max="38" style="8273" width="4.00390625" customWidth="1"/>
    <col min="39" max="39" style="8273" width="115.00390625" customWidth="1"/>
    <col min="40" max="44" style="8355" width="10.00390625" customWidth="1"/>
    <col min="45" max="45" style="8273"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198</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524</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525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526</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527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528</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529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530</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531</v>
      </c>
      <c r="M6" s="1748"/>
      <c r="P6" s="2370">
        <v>1</v>
      </c>
      <c r="Q6" s="2067"/>
      <c r="R6" s="469"/>
      <c r="S6" s="2071">
        <f>$I6</f>
      </c>
      <c r="T6" s="398" t="s">
        <v>532</v>
      </c>
      <c r="U6" s="413"/>
      <c r="V6" s="2358"/>
      <c r="W6" s="2359"/>
      <c r="X6" s="2359"/>
      <c r="Y6" s="2359"/>
      <c r="Z6" s="2359"/>
      <c r="AA6" s="2359"/>
      <c r="AB6" s="2359"/>
      <c r="AC6" s="2360"/>
      <c r="AD6" s="2358"/>
      <c r="AE6" s="2359"/>
      <c r="AF6" s="2359"/>
      <c r="AG6" s="2359"/>
      <c r="AH6" s="2359"/>
      <c r="AI6" s="2359"/>
      <c r="AJ6" s="2359"/>
      <c r="AK6" s="2359"/>
      <c r="AL6" s="2360"/>
      <c r="AM6" s="1371" t="s">
        <v>533</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534</v>
      </c>
      <c r="M7" s="1748"/>
      <c r="N7" s="1744"/>
      <c r="P7" s="2370"/>
      <c r="Q7" s="2370">
        <v>1</v>
      </c>
      <c r="R7" s="470"/>
      <c r="S7" s="2071">
        <f>$J7</f>
      </c>
      <c r="T7" s="399" t="s">
        <v>535</v>
      </c>
      <c r="U7" s="413"/>
      <c r="V7" s="2358"/>
      <c r="W7" s="2359"/>
      <c r="X7" s="2359"/>
      <c r="Y7" s="2359"/>
      <c r="Z7" s="2359"/>
      <c r="AA7" s="2359"/>
      <c r="AB7" s="2359"/>
      <c r="AC7" s="2360"/>
      <c r="AD7" s="2358"/>
      <c r="AE7" s="2359"/>
      <c r="AF7" s="2359"/>
      <c r="AG7" s="2359"/>
      <c r="AH7" s="2359"/>
      <c r="AI7" s="2359"/>
      <c r="AJ7" s="2359"/>
      <c r="AK7" s="2359"/>
      <c r="AL7" s="2360"/>
      <c r="AM7" s="1371" t="s">
        <v>536</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537</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538</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539</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540</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541</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8355"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542</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8355"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298</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8355"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355</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8354" customFormat="1" customHeight="1" ht="14.25" hidden="1">
      <c r="A20" s="1744"/>
      <c r="B20" s="1744"/>
      <c r="C20" s="1744"/>
      <c r="D20" s="1744"/>
      <c r="E20" s="1744"/>
      <c r="F20" s="1744"/>
      <c r="G20" s="1744"/>
      <c r="H20" s="1744"/>
      <c r="I20" s="1744"/>
      <c r="J20" s="1744"/>
      <c r="K20" s="1744"/>
      <c r="L20" s="2052"/>
      <c r="M20" s="2078"/>
      <c r="N20" s="2078"/>
      <c r="O20" s="1458" t="s">
        <v>543</v>
      </c>
      <c r="P20" s="1475"/>
      <c r="Q20" s="1484"/>
      <c r="R20" s="1484"/>
      <c r="S20" s="842"/>
      <c r="Z20" s="1480"/>
      <c r="AB20" s="1480"/>
      <c r="AH20" s="1480"/>
      <c r="AJ20" s="1480"/>
      <c r="AN20" s="1749"/>
      <c r="AO20" s="1749"/>
      <c r="AP20" s="1749"/>
      <c r="AQ20" s="1749"/>
      <c r="AR20" s="1749"/>
      <c r="AS20" s="1479">
        <v>0</v>
      </c>
    </row>
    <row s="8354"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8354" customFormat="1" customHeight="1" ht="14.25" hidden="1">
      <c r="A22" s="1744"/>
      <c r="B22" s="1744"/>
      <c r="C22" s="1744"/>
      <c r="D22" s="1744"/>
      <c r="E22" s="1744"/>
      <c r="F22" s="1744"/>
      <c r="G22" s="1744"/>
      <c r="H22" s="1744"/>
      <c r="I22" s="1744"/>
      <c r="J22" s="1744"/>
      <c r="K22" s="1744"/>
      <c r="L22" s="2052"/>
      <c r="M22" s="2078"/>
      <c r="N22" s="2078"/>
      <c r="O22" s="1423" t="s">
        <v>544</v>
      </c>
      <c r="P22" s="1475"/>
      <c r="Q22" s="1484"/>
      <c r="R22" s="1484"/>
      <c r="S22" s="842"/>
      <c r="T22" s="1479" t="s">
        <v>545</v>
      </c>
      <c r="AA22" s="708" t="s">
        <v>546</v>
      </c>
      <c r="AC22" s="708" t="s">
        <v>547</v>
      </c>
      <c r="AD22" s="1479" t="s">
        <v>545</v>
      </c>
      <c r="AI22" s="708" t="s">
        <v>548</v>
      </c>
      <c r="AK22" s="708" t="s">
        <v>547</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МУП ЖКХ "Родник"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8491"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8491" customFormat="1" customHeight="1" ht="18.75" hidden="1">
      <c r="A30" s="1361"/>
      <c r="B30" s="1361"/>
      <c r="C30" s="1361"/>
      <c r="D30" s="1361"/>
      <c r="E30" s="1361"/>
      <c r="F30" s="1361"/>
      <c r="G30" s="1361"/>
      <c r="H30" s="1361"/>
      <c r="I30" s="1361"/>
      <c r="J30" s="1361"/>
      <c r="K30" s="1361"/>
      <c r="L30" s="1493"/>
      <c r="M30" s="1361"/>
      <c r="N30" s="1361"/>
      <c r="O30" s="1361"/>
      <c r="S30" s="2363" t="s">
        <v>549</v>
      </c>
      <c r="T30" s="2363"/>
      <c r="U30" s="1485"/>
      <c r="V30" s="2377" t="str">
        <f>IF(TITLE_DATE_PR_CHANGE="",IF(TITLE_DATE_PR="","",TITLE_DATE_PR),TITLE_DATE_PR_CHANGE)</f>
        <v>45586</v>
      </c>
      <c r="W30" s="2377"/>
      <c r="X30" s="2377"/>
      <c r="Y30" s="2377"/>
      <c r="Z30" s="2377"/>
      <c r="AA30" s="2377"/>
      <c r="AB30" s="2377"/>
      <c r="AC30" s="1748"/>
      <c r="AD30" s="2377" t="str">
        <f>IF(TITLE_DATE_PR_CHANGE="",IF(TITLE_DATE_PR="","",TITLE_DATE_PR),TITLE_DATE_PR_CHANGE)</f>
        <v>45586</v>
      </c>
      <c r="AE30" s="2377"/>
      <c r="AF30" s="2377"/>
      <c r="AG30" s="2377"/>
      <c r="AH30" s="2377"/>
      <c r="AI30" s="2377"/>
      <c r="AJ30" s="2377"/>
      <c r="AK30" s="1748"/>
      <c r="AL30" s="1748"/>
      <c r="AM30" s="393"/>
      <c r="AN30" s="481"/>
      <c r="AO30" s="481"/>
      <c r="AP30" s="481"/>
      <c r="AQ30" s="481"/>
      <c r="AR30" s="481"/>
      <c r="AS30" s="531">
        <v>0</v>
      </c>
    </row>
    <row s="8491" customFormat="1" customHeight="1" ht="18.75" hidden="1">
      <c r="A31" s="1361"/>
      <c r="B31" s="1361"/>
      <c r="C31" s="1361"/>
      <c r="D31" s="1361"/>
      <c r="E31" s="1361"/>
      <c r="F31" s="1361"/>
      <c r="G31" s="1361"/>
      <c r="H31" s="1361"/>
      <c r="I31" s="1361"/>
      <c r="J31" s="1361"/>
      <c r="K31" s="1361"/>
      <c r="L31" s="1493"/>
      <c r="M31" s="1361"/>
      <c r="N31" s="1361"/>
      <c r="O31" s="1361"/>
      <c r="S31" s="2363" t="s">
        <v>550</v>
      </c>
      <c r="T31" s="2363"/>
      <c r="U31" s="1485"/>
      <c r="V31" s="2364" t="str">
        <f>IF(TITLE_NUMBER_PR_CHANGE="",IF(TITLE_NUMBER_PR="","",TITLE_NUMBER_PR),TITLE_NUMBER_PR_CHANGE)</f>
        <v>1577</v>
      </c>
      <c r="W31" s="2364"/>
      <c r="X31" s="2364"/>
      <c r="Y31" s="2364"/>
      <c r="Z31" s="2364"/>
      <c r="AA31" s="2364"/>
      <c r="AB31" s="2364"/>
      <c r="AC31" s="1748"/>
      <c r="AD31" s="2364" t="str">
        <f>IF(TITLE_NUMBER_PR_CHANGE="",IF(TITLE_NUMBER_PR="","",TITLE_NUMBER_PR),TITLE_NUMBER_PR_CHANGE)</f>
        <v>1577</v>
      </c>
      <c r="AE31" s="2364"/>
      <c r="AF31" s="2364"/>
      <c r="AG31" s="2364"/>
      <c r="AH31" s="2364"/>
      <c r="AI31" s="2364"/>
      <c r="AJ31" s="2364"/>
      <c r="AK31" s="1748"/>
      <c r="AL31" s="1748"/>
      <c r="AM31" s="393"/>
      <c r="AN31" s="481"/>
      <c r="AO31" s="481"/>
      <c r="AP31" s="481"/>
      <c r="AQ31" s="481"/>
      <c r="AR31" s="481"/>
      <c r="AS31" s="531">
        <v>0</v>
      </c>
    </row>
    <row s="8491"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8491" customFormat="1" customHeight="1" ht="18.75" hidden="1">
      <c r="A34" s="1361"/>
      <c r="B34" s="1361"/>
      <c r="C34" s="1361"/>
      <c r="D34" s="1361"/>
      <c r="E34" s="1361"/>
      <c r="F34" s="1361"/>
      <c r="G34" s="1361"/>
      <c r="H34" s="1361"/>
      <c r="I34" s="1361"/>
      <c r="J34" s="1361"/>
      <c r="K34" s="1361"/>
      <c r="L34" s="1493"/>
      <c r="M34" s="1361"/>
      <c r="N34" s="1361"/>
      <c r="O34" s="1361"/>
      <c r="S34" s="2363" t="s">
        <v>551</v>
      </c>
      <c r="T34" s="2363"/>
      <c r="U34" s="1485"/>
      <c r="V34" s="2377" t="str">
        <f>IF(TITLE_DATE_PR_CHANGE="",IF(TITLE_DATE_PR="","",TITLE_DATE_PR),TITLE_DATE_PR_CHANGE)</f>
        <v>45586</v>
      </c>
      <c r="W34" s="2377"/>
      <c r="X34" s="2377"/>
      <c r="Y34" s="2377"/>
      <c r="Z34" s="2377"/>
      <c r="AA34" s="2377"/>
      <c r="AB34" s="2377"/>
      <c r="AC34" s="1748"/>
      <c r="AD34" s="2377" t="str">
        <f>IF(TITLE_DATE_PR_CHANGE="",IF(TITLE_DATE_PR="","",TITLE_DATE_PR),TITLE_DATE_PR_CHANGE)</f>
        <v>45586</v>
      </c>
      <c r="AE34" s="2377"/>
      <c r="AF34" s="2377"/>
      <c r="AG34" s="2377"/>
      <c r="AH34" s="2377"/>
      <c r="AI34" s="2377"/>
      <c r="AJ34" s="2377"/>
      <c r="AK34" s="1748"/>
      <c r="AL34" s="1748"/>
      <c r="AM34" s="393"/>
      <c r="AN34" s="481"/>
      <c r="AO34" s="481"/>
      <c r="AP34" s="481"/>
      <c r="AQ34" s="481"/>
      <c r="AR34" s="481"/>
      <c r="AS34" s="531">
        <v>0</v>
      </c>
    </row>
    <row s="8491" customFormat="1" customHeight="1" ht="18.75" hidden="1">
      <c r="A35" s="1361"/>
      <c r="B35" s="1361"/>
      <c r="C35" s="1361"/>
      <c r="D35" s="1361"/>
      <c r="E35" s="1361"/>
      <c r="F35" s="1361"/>
      <c r="G35" s="1361"/>
      <c r="H35" s="1361"/>
      <c r="I35" s="1361"/>
      <c r="J35" s="1361"/>
      <c r="K35" s="1361"/>
      <c r="L35" s="1493"/>
      <c r="M35" s="1361"/>
      <c r="N35" s="1361"/>
      <c r="O35" s="1361"/>
      <c r="S35" s="2363" t="s">
        <v>552</v>
      </c>
      <c r="T35" s="2363"/>
      <c r="U35" s="1485"/>
      <c r="V35" s="2364" t="str">
        <f>IF(TITLE_NUMBER_PR_CHANGE="",IF(TITLE_NUMBER_PR="","",TITLE_NUMBER_PR),TITLE_NUMBER_PR_CHANGE)</f>
        <v>1577</v>
      </c>
      <c r="W35" s="2364"/>
      <c r="X35" s="2364"/>
      <c r="Y35" s="2364"/>
      <c r="Z35" s="2364"/>
      <c r="AA35" s="2364"/>
      <c r="AB35" s="2364"/>
      <c r="AC35" s="1748"/>
      <c r="AD35" s="2364" t="str">
        <f>IF(TITLE_NUMBER_PR_CHANGE="",IF(TITLE_NUMBER_PR="","",TITLE_NUMBER_PR),TITLE_NUMBER_PR_CHANGE)</f>
        <v>1577</v>
      </c>
      <c r="AE35" s="2364"/>
      <c r="AF35" s="2364"/>
      <c r="AG35" s="2364"/>
      <c r="AH35" s="2364"/>
      <c r="AI35" s="2364"/>
      <c r="AJ35" s="2364"/>
      <c r="AK35" s="1748"/>
      <c r="AL35" s="1748"/>
      <c r="AM35" s="393"/>
      <c r="AN35" s="481"/>
      <c r="AO35" s="481"/>
      <c r="AP35" s="481"/>
      <c r="AQ35" s="481"/>
      <c r="AR35" s="481"/>
      <c r="AS35" s="531">
        <v>0</v>
      </c>
    </row>
    <row s="8491"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553</v>
      </c>
      <c r="AD36" s="1748"/>
      <c r="AE36" s="1748"/>
      <c r="AF36" s="1748"/>
      <c r="AG36" s="1748"/>
      <c r="AH36" s="1748"/>
      <c r="AI36" s="1748"/>
      <c r="AJ36" s="1748"/>
      <c r="AK36" s="1755" t="s">
        <v>553</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428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429</v>
      </c>
      <c r="AS38" s="1744">
        <v>14</v>
      </c>
    </row>
    <row customHeight="1" ht="14.699999999999998">
      <c r="Q39" s="489"/>
      <c r="R39" s="489"/>
      <c r="S39" s="2386" t="s">
        <v>88</v>
      </c>
      <c r="T39" s="2322" t="s">
        <v>554</v>
      </c>
      <c r="U39" s="450"/>
      <c r="V39" s="2387" t="s">
        <v>555</v>
      </c>
      <c r="W39" s="2388"/>
      <c r="X39" s="2388"/>
      <c r="Y39" s="2388"/>
      <c r="Z39" s="2388"/>
      <c r="AA39" s="2388"/>
      <c r="AB39" s="2389"/>
      <c r="AC39" s="2390" t="s">
        <v>556</v>
      </c>
      <c r="AD39" s="2387" t="s">
        <v>555</v>
      </c>
      <c r="AE39" s="2388"/>
      <c r="AF39" s="2388"/>
      <c r="AG39" s="2388"/>
      <c r="AH39" s="2388"/>
      <c r="AI39" s="2388"/>
      <c r="AJ39" s="2389"/>
      <c r="AK39" s="2390" t="s">
        <v>557</v>
      </c>
      <c r="AL39" s="2393" t="s">
        <v>558</v>
      </c>
      <c r="AM39" s="2240"/>
      <c r="AS39" s="1744">
        <v>14</v>
      </c>
    </row>
    <row customHeight="1" ht="35.699999999999996">
      <c r="Q40" s="489"/>
      <c r="R40" s="489"/>
      <c r="S40" s="2386"/>
      <c r="T40" s="2322"/>
      <c r="U40" s="1144"/>
      <c r="V40" s="2373" t="s">
        <v>559</v>
      </c>
      <c r="W40" s="2396" t="s">
        <v>560</v>
      </c>
      <c r="X40" s="2375" t="s">
        <v>561</v>
      </c>
      <c r="Y40" s="2376"/>
      <c r="Z40" s="2375" t="s">
        <v>574</v>
      </c>
      <c r="AA40" s="2382"/>
      <c r="AB40" s="2376"/>
      <c r="AC40" s="2391"/>
      <c r="AD40" s="2373" t="s">
        <v>559</v>
      </c>
      <c r="AE40" s="2396" t="s">
        <v>560</v>
      </c>
      <c r="AF40" s="2375" t="s">
        <v>561</v>
      </c>
      <c r="AG40" s="2376"/>
      <c r="AH40" s="2375" t="s">
        <v>562</v>
      </c>
      <c r="AI40" s="2382"/>
      <c r="AJ40" s="2376"/>
      <c r="AK40" s="2391"/>
      <c r="AL40" s="2394"/>
      <c r="AM40" s="2240"/>
      <c r="AS40" s="1744">
        <v>34</v>
      </c>
    </row>
    <row customHeight="1" ht="35.699999999999996">
      <c r="A41" s="1379"/>
      <c r="B41" s="1379" t="s">
        <v>210</v>
      </c>
      <c r="C41" s="1379" t="s">
        <v>211</v>
      </c>
      <c r="D41" s="1379" t="s">
        <v>212</v>
      </c>
      <c r="E41" s="1423" t="s">
        <v>563</v>
      </c>
      <c r="F41" s="1423" t="s">
        <v>564</v>
      </c>
      <c r="G41" s="1423" t="s">
        <v>565</v>
      </c>
      <c r="H41" s="1423" t="s">
        <v>566</v>
      </c>
      <c r="I41" s="1423" t="s">
        <v>567</v>
      </c>
      <c r="J41" s="1423" t="s">
        <v>568</v>
      </c>
      <c r="K41" s="1423" t="s">
        <v>569</v>
      </c>
      <c r="L41" s="1423" t="s">
        <v>544</v>
      </c>
      <c r="Q41" s="489"/>
      <c r="R41" s="489"/>
      <c r="S41" s="2386"/>
      <c r="T41" s="2322"/>
      <c r="U41" s="415"/>
      <c r="V41" s="2374"/>
      <c r="W41" s="2397"/>
      <c r="X41" s="2051" t="s">
        <v>570</v>
      </c>
      <c r="Y41" s="2051" t="s">
        <v>571</v>
      </c>
      <c r="Z41" s="2051" t="s">
        <v>572</v>
      </c>
      <c r="AA41" s="2383" t="s">
        <v>573</v>
      </c>
      <c r="AB41" s="2384"/>
      <c r="AC41" s="2392"/>
      <c r="AD41" s="2374"/>
      <c r="AE41" s="2397"/>
      <c r="AF41" s="2051" t="s">
        <v>570</v>
      </c>
      <c r="AG41" s="2051" t="s">
        <v>571</v>
      </c>
      <c r="AH41" s="2051" t="s">
        <v>572</v>
      </c>
      <c r="AI41" s="2383" t="s">
        <v>573</v>
      </c>
      <c r="AJ41" s="2384"/>
      <c r="AK41" s="2392"/>
      <c r="AL41" s="2395"/>
      <c r="AM41" s="2240"/>
      <c r="AS41" s="1744">
        <v>34</v>
      </c>
    </row>
    <row s="8962"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187</v>
      </c>
      <c r="T42" s="1368" t="s">
        <v>104</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279</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198</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279</v>
      </c>
      <c r="B44" s="1380" t="s">
        <v>280</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525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526</v>
      </c>
      <c r="AO44" s="1737"/>
      <c r="AP44" s="1737" t="str">
        <f>IF(T44="","",T44)</f>
        <v>Территория действия тарифа</v>
      </c>
      <c r="AQ44" s="1737"/>
      <c r="AR44" s="1737"/>
      <c r="AS44" s="1744">
        <v>21</v>
      </c>
    </row>
    <row customHeight="1" ht="24">
      <c r="A45" s="1380" t="s">
        <v>279</v>
      </c>
      <c r="B45" s="1380" t="s">
        <v>280</v>
      </c>
      <c r="C45" s="1380" t="s">
        <v>281</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527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528</v>
      </c>
      <c r="AO45" s="1737"/>
      <c r="AP45" s="1737" t="str">
        <f>IF(T45="","",T45)</f>
        <v>Наименование системы теплоснабжения </v>
      </c>
      <c r="AQ45" s="1737"/>
      <c r="AR45" s="1737"/>
      <c r="AS45" s="1744">
        <v>23</v>
      </c>
    </row>
    <row customHeight="1" ht="22.049999999999997">
      <c r="A46" s="1380" t="s">
        <v>279</v>
      </c>
      <c r="B46" s="1380" t="s">
        <v>280</v>
      </c>
      <c r="C46" s="1380" t="s">
        <v>281</v>
      </c>
      <c r="D46" s="1380" t="s">
        <v>282</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529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530</v>
      </c>
      <c r="AO46" s="1737"/>
      <c r="AP46" s="1737" t="str">
        <f>IF(T46="","",T46)</f>
        <v>Источник тепловой энергии  </v>
      </c>
      <c r="AQ46" s="1737"/>
      <c r="AR46" s="1737"/>
      <c r="AS46" s="1744">
        <v>21</v>
      </c>
    </row>
    <row customHeight="1" ht="49.5">
      <c r="A47" s="1380" t="s">
        <v>279</v>
      </c>
      <c r="B47" s="1380" t="s">
        <v>280</v>
      </c>
      <c r="C47" s="1380" t="s">
        <v>281</v>
      </c>
      <c r="D47" s="1380" t="s">
        <v>282</v>
      </c>
      <c r="E47" s="2403"/>
      <c r="F47" s="2403"/>
      <c r="G47" s="2403"/>
      <c r="H47" s="2403"/>
      <c r="I47" s="2240" t="str">
        <f>S46&amp;".1"</f>
        <v>....1</v>
      </c>
      <c r="J47" s="1380"/>
      <c r="K47" s="1380"/>
      <c r="L47" s="1423" t="s">
        <v>531</v>
      </c>
      <c r="P47" s="2370">
        <v>1</v>
      </c>
      <c r="Q47" s="2067"/>
      <c r="R47" s="469"/>
      <c r="S47" s="2071" t="str">
        <f>$I47</f>
        <v>....1</v>
      </c>
      <c r="T47" s="398" t="s">
        <v>532</v>
      </c>
      <c r="U47" s="413"/>
      <c r="V47" s="2358"/>
      <c r="W47" s="2359"/>
      <c r="X47" s="2359"/>
      <c r="Y47" s="2359"/>
      <c r="Z47" s="2359"/>
      <c r="AA47" s="2359"/>
      <c r="AB47" s="2359"/>
      <c r="AC47" s="2360"/>
      <c r="AD47" s="2358"/>
      <c r="AE47" s="2359"/>
      <c r="AF47" s="2359"/>
      <c r="AG47" s="2359"/>
      <c r="AH47" s="2359"/>
      <c r="AI47" s="2359"/>
      <c r="AJ47" s="2359"/>
      <c r="AK47" s="2359"/>
      <c r="AL47" s="2360"/>
      <c r="AM47" s="1371" t="s">
        <v>533</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279</v>
      </c>
      <c r="B48" s="1380" t="s">
        <v>280</v>
      </c>
      <c r="C48" s="1380" t="s">
        <v>281</v>
      </c>
      <c r="D48" s="1380" t="s">
        <v>282</v>
      </c>
      <c r="E48" s="2403"/>
      <c r="F48" s="2403"/>
      <c r="G48" s="2403"/>
      <c r="H48" s="2403"/>
      <c r="I48" s="2214"/>
      <c r="J48" s="2240" t="str">
        <f>I47&amp;".1"</f>
        <v>....1.1</v>
      </c>
      <c r="K48" s="1380"/>
      <c r="L48" s="1423" t="s">
        <v>534</v>
      </c>
      <c r="P48" s="2370"/>
      <c r="Q48" s="2370">
        <v>1</v>
      </c>
      <c r="R48" s="470"/>
      <c r="S48" s="2071" t="str">
        <f>$J48</f>
        <v>....1.1</v>
      </c>
      <c r="T48" s="399" t="s">
        <v>535</v>
      </c>
      <c r="U48" s="413"/>
      <c r="V48" s="2358"/>
      <c r="W48" s="2359"/>
      <c r="X48" s="2359"/>
      <c r="Y48" s="2359"/>
      <c r="Z48" s="2359"/>
      <c r="AA48" s="2359"/>
      <c r="AB48" s="2359"/>
      <c r="AC48" s="2360"/>
      <c r="AD48" s="2358"/>
      <c r="AE48" s="2359"/>
      <c r="AF48" s="2359"/>
      <c r="AG48" s="2359"/>
      <c r="AH48" s="2359"/>
      <c r="AI48" s="2359"/>
      <c r="AJ48" s="2359"/>
      <c r="AK48" s="2359"/>
      <c r="AL48" s="2360"/>
      <c r="AM48" s="1371" t="s">
        <v>536</v>
      </c>
      <c r="AO48" s="1737"/>
      <c r="AP48" s="1737" t="str">
        <f>IF(T48="","",T48)</f>
        <v>Группа потребителей</v>
      </c>
      <c r="AQ48" s="1737"/>
      <c r="AR48" s="1737"/>
      <c r="AS48" s="1744">
        <v>21</v>
      </c>
    </row>
    <row customHeight="1" ht="22.049999999999997">
      <c r="A49" s="1380" t="s">
        <v>279</v>
      </c>
      <c r="B49" s="1380" t="s">
        <v>280</v>
      </c>
      <c r="C49" s="1380" t="s">
        <v>281</v>
      </c>
      <c r="D49" s="1380" t="s">
        <v>282</v>
      </c>
      <c r="E49" s="2403"/>
      <c r="F49" s="2403"/>
      <c r="G49" s="2403"/>
      <c r="H49" s="2403"/>
      <c r="I49" s="2214"/>
      <c r="J49" s="2214"/>
      <c r="K49" s="2240" t="str">
        <f>J48&amp;".1"</f>
        <v>....1.1.1</v>
      </c>
      <c r="L49" s="1423" t="s">
        <v>537</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538</v>
      </c>
      <c r="AN49" s="1749">
        <f>STRCHECKDATE(V50:AL50)</f>
      </c>
      <c r="AO49" s="1737"/>
      <c r="AP49" s="1737" t="str">
        <f>IF(T49="","",T49)</f>
        <v/>
      </c>
      <c r="AQ49" s="1737"/>
      <c r="AR49" s="1737"/>
      <c r="AS49" s="1744">
        <v>21</v>
      </c>
    </row>
    <row customHeight="1" ht="1.05">
      <c r="A50" s="1380" t="s">
        <v>279</v>
      </c>
      <c r="B50" s="1380" t="s">
        <v>280</v>
      </c>
      <c r="C50" s="1380" t="s">
        <v>281</v>
      </c>
      <c r="D50" s="1380" t="s">
        <v>282</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279</v>
      </c>
      <c r="B51" s="1380" t="s">
        <v>280</v>
      </c>
      <c r="C51" s="1380" t="s">
        <v>281</v>
      </c>
      <c r="D51" s="1380" t="s">
        <v>282</v>
      </c>
      <c r="E51" s="2403"/>
      <c r="F51" s="2403"/>
      <c r="G51" s="2403"/>
      <c r="H51" s="2403"/>
      <c r="I51" s="2214"/>
      <c r="J51" s="2240"/>
      <c r="K51" s="1380"/>
      <c r="L51" s="1423"/>
      <c r="P51" s="2370"/>
      <c r="Q51" s="2370"/>
      <c r="R51" s="469"/>
      <c r="S51" s="1391"/>
      <c r="T51" s="401" t="s">
        <v>539</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279</v>
      </c>
      <c r="B52" s="1380" t="s">
        <v>280</v>
      </c>
      <c r="C52" s="1380" t="s">
        <v>281</v>
      </c>
      <c r="D52" s="1380" t="s">
        <v>282</v>
      </c>
      <c r="E52" s="2403"/>
      <c r="F52" s="2403"/>
      <c r="G52" s="2403"/>
      <c r="H52" s="2403"/>
      <c r="I52" s="2240"/>
      <c r="J52" s="1380"/>
      <c r="K52" s="1380"/>
      <c r="L52" s="1423"/>
      <c r="P52" s="2370"/>
      <c r="Q52" s="2067"/>
      <c r="R52" s="469"/>
      <c r="S52" s="1391"/>
      <c r="T52" s="400" t="s">
        <v>540</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279</v>
      </c>
      <c r="B53" s="1380" t="s">
        <v>280</v>
      </c>
      <c r="C53" s="1380" t="s">
        <v>281</v>
      </c>
      <c r="D53" s="1380" t="s">
        <v>282</v>
      </c>
      <c r="E53" s="2403"/>
      <c r="F53" s="2403"/>
      <c r="G53" s="2403"/>
      <c r="H53" s="2402"/>
      <c r="I53" s="1380"/>
      <c r="J53" s="1380"/>
      <c r="K53" s="1380"/>
      <c r="L53" s="1423"/>
      <c r="M53" s="1723"/>
      <c r="N53" s="1723"/>
      <c r="O53" s="1748"/>
      <c r="P53" s="473"/>
      <c r="Q53" s="488"/>
      <c r="R53" s="468"/>
      <c r="S53" s="1391"/>
      <c r="T53" s="478" t="s">
        <v>541</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8355" customFormat="1" customHeight="1" ht="4.2">
      <c r="A54" s="1488" t="s">
        <v>279</v>
      </c>
      <c r="B54" s="1488" t="s">
        <v>280</v>
      </c>
      <c r="C54" s="1488" t="s">
        <v>281</v>
      </c>
      <c r="D54" s="1487"/>
      <c r="E54" s="2403"/>
      <c r="F54" s="2403"/>
      <c r="G54" s="2402"/>
      <c r="H54" s="1487"/>
      <c r="I54" s="1487"/>
      <c r="J54" s="1487"/>
      <c r="K54" s="1487"/>
      <c r="L54" s="1490"/>
      <c r="M54" s="1491"/>
      <c r="N54" s="1491"/>
      <c r="O54" s="464"/>
      <c r="P54" s="1429"/>
      <c r="Q54" s="1430"/>
      <c r="R54" s="1429"/>
      <c r="S54" s="1435"/>
      <c r="T54" s="1438" t="s">
        <v>542</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8355" customFormat="1" customHeight="1" ht="4.2">
      <c r="A55" s="1488" t="s">
        <v>279</v>
      </c>
      <c r="B55" s="1488" t="s">
        <v>280</v>
      </c>
      <c r="C55" s="1487"/>
      <c r="D55" s="1487"/>
      <c r="E55" s="2403"/>
      <c r="F55" s="2402"/>
      <c r="G55" s="1487"/>
      <c r="H55" s="1487"/>
      <c r="I55" s="1487"/>
      <c r="J55" s="1487"/>
      <c r="K55" s="1487"/>
      <c r="L55" s="1490"/>
      <c r="M55" s="1492"/>
      <c r="N55" s="1492"/>
      <c r="O55" s="464"/>
      <c r="P55" s="1429"/>
      <c r="Q55" s="1430"/>
      <c r="R55" s="1429"/>
      <c r="S55" s="1435"/>
      <c r="T55" s="1438" t="s">
        <v>298</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8355" customFormat="1" customHeight="1" ht="4.2">
      <c r="A56" s="1488" t="s">
        <v>279</v>
      </c>
      <c r="B56" s="1488"/>
      <c r="C56" s="1488"/>
      <c r="D56" s="1488"/>
      <c r="E56" s="2402"/>
      <c r="F56" s="1488"/>
      <c r="G56" s="1488"/>
      <c r="H56" s="1488"/>
      <c r="I56" s="1488"/>
      <c r="J56" s="1488"/>
      <c r="K56" s="1488"/>
      <c r="L56" s="1494"/>
      <c r="M56" s="1492"/>
      <c r="N56" s="1492"/>
      <c r="O56" s="464"/>
      <c r="P56" s="493"/>
      <c r="Q56" s="1457"/>
      <c r="R56" s="493"/>
      <c r="S56" s="1435"/>
      <c r="T56" s="1438" t="s">
        <v>355</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8355"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356</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B230B9-31F5-D64B-6982-F9FF66E0F31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73" width="10.57421875" hidden="1"/>
    <col min="2" max="2" style="8273" width="11.00390625" hidden="1" customWidth="1"/>
    <col min="3" max="3" style="8273" width="10.57421875" hidden="1"/>
    <col min="4" max="4" style="8273" width="11.8515625" hidden="1" customWidth="1"/>
    <col min="5" max="5" style="8273" width="10.00390625" hidden="1" customWidth="1"/>
    <col min="6" max="6" style="8273" width="8.7109375" hidden="1" customWidth="1"/>
    <col min="7" max="7" style="8273" width="7.57421875" hidden="1" customWidth="1"/>
    <col min="8" max="8" style="8273" width="11.421875" hidden="1" customWidth="1"/>
    <col min="9" max="9" style="8273" width="12.00390625" hidden="1" customWidth="1"/>
    <col min="10" max="10" style="8273" width="9.8515625" hidden="1" customWidth="1"/>
    <col min="11" max="11" style="8273" width="11.421875" hidden="1" customWidth="1"/>
    <col min="12" max="12" style="8352" width="19.140625" hidden="1" customWidth="1"/>
    <col min="13" max="14" style="9206" width="12.28125" hidden="1" customWidth="1"/>
    <col min="15" max="15" style="9206" width="23.421875" hidden="1" customWidth="1"/>
    <col min="16" max="16" style="9206" width="3.00390625" customWidth="1"/>
    <col min="17" max="18" style="9207" width="3.00390625" customWidth="1"/>
    <col min="19" max="19" style="9208" width="12.00390625" customWidth="1"/>
    <col min="20" max="20" style="8273" width="31.00390625" customWidth="1"/>
    <col min="21" max="21" style="8273" width="0.140625" customWidth="1"/>
    <col min="22" max="22" style="8273" width="24.7109375" hidden="1" customWidth="1"/>
    <col min="23" max="23" style="8273" width="0.140625" hidden="1" customWidth="1"/>
    <col min="24" max="25" style="8273" width="24.7109375" hidden="1" customWidth="1"/>
    <col min="26" max="26" style="8273" width="11.7109375" hidden="1" customWidth="1"/>
    <col min="27" max="27" style="8273" width="3.7109375" hidden="1" customWidth="1"/>
    <col min="28" max="28" style="8273" width="11.7109375" hidden="1" customWidth="1"/>
    <col min="29" max="29" style="8273" width="8.57421875" hidden="1" customWidth="1"/>
    <col min="30" max="30" style="8273" width="24.7109375" customWidth="1"/>
    <col min="31" max="31" style="8273" width="0.140625" customWidth="1"/>
    <col min="32" max="33" style="8273" width="24.00390625" customWidth="1"/>
    <col min="34" max="34" style="8273" width="11.00390625" customWidth="1"/>
    <col min="35" max="35" style="8273" width="3.7109375" customWidth="1"/>
    <col min="36" max="36" style="8273" width="11.00390625" customWidth="1"/>
    <col min="37" max="37" style="8273" width="8.57421875" hidden="1" customWidth="1"/>
    <col min="38" max="38" style="8273" width="4.00390625" customWidth="1"/>
    <col min="39" max="39" style="8273" width="115.00390625" customWidth="1"/>
    <col min="40" max="44" style="8355" width="10.00390625" customWidth="1"/>
    <col min="45" max="45" style="8273"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198</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524</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525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526</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527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528</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529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530</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531</v>
      </c>
      <c r="M6" s="1748"/>
      <c r="P6" s="2370">
        <v>1</v>
      </c>
      <c r="Q6" s="2067"/>
      <c r="R6" s="469"/>
      <c r="S6" s="2071">
        <f>$I6</f>
      </c>
      <c r="T6" s="398" t="s">
        <v>532</v>
      </c>
      <c r="U6" s="413"/>
      <c r="V6" s="2358"/>
      <c r="W6" s="2359"/>
      <c r="X6" s="2359"/>
      <c r="Y6" s="2359"/>
      <c r="Z6" s="2359"/>
      <c r="AA6" s="2359"/>
      <c r="AB6" s="2359"/>
      <c r="AC6" s="2360"/>
      <c r="AD6" s="2358"/>
      <c r="AE6" s="2359"/>
      <c r="AF6" s="2359"/>
      <c r="AG6" s="2359"/>
      <c r="AH6" s="2359"/>
      <c r="AI6" s="2359"/>
      <c r="AJ6" s="2359"/>
      <c r="AK6" s="2359"/>
      <c r="AL6" s="2360"/>
      <c r="AM6" s="1371" t="s">
        <v>533</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534</v>
      </c>
      <c r="M7" s="1748"/>
      <c r="N7" s="1744"/>
      <c r="P7" s="2370"/>
      <c r="Q7" s="2370">
        <v>1</v>
      </c>
      <c r="R7" s="470"/>
      <c r="S7" s="2071">
        <f>$J7</f>
      </c>
      <c r="T7" s="399" t="s">
        <v>535</v>
      </c>
      <c r="U7" s="413"/>
      <c r="V7" s="2358"/>
      <c r="W7" s="2359"/>
      <c r="X7" s="2359"/>
      <c r="Y7" s="2359"/>
      <c r="Z7" s="2359"/>
      <c r="AA7" s="2359"/>
      <c r="AB7" s="2359"/>
      <c r="AC7" s="2360"/>
      <c r="AD7" s="2358"/>
      <c r="AE7" s="2359"/>
      <c r="AF7" s="2359"/>
      <c r="AG7" s="2359"/>
      <c r="AH7" s="2359"/>
      <c r="AI7" s="2359"/>
      <c r="AJ7" s="2359"/>
      <c r="AK7" s="2359"/>
      <c r="AL7" s="2360"/>
      <c r="AM7" s="1371" t="s">
        <v>536</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537</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538</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539</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540</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541</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8355"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542</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8355"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298</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8355"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355</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8354" customFormat="1" customHeight="1" ht="14.25" hidden="1">
      <c r="A20" s="1744"/>
      <c r="B20" s="1744"/>
      <c r="C20" s="1744"/>
      <c r="D20" s="1744"/>
      <c r="E20" s="1744"/>
      <c r="F20" s="1744"/>
      <c r="G20" s="1744"/>
      <c r="H20" s="1744"/>
      <c r="I20" s="1744"/>
      <c r="J20" s="1744"/>
      <c r="K20" s="1744"/>
      <c r="L20" s="2052"/>
      <c r="M20" s="2078"/>
      <c r="N20" s="2078"/>
      <c r="O20" s="1458" t="s">
        <v>543</v>
      </c>
      <c r="P20" s="1475"/>
      <c r="Q20" s="1484"/>
      <c r="R20" s="1484"/>
      <c r="S20" s="842"/>
      <c r="Z20" s="1480"/>
      <c r="AB20" s="1480"/>
      <c r="AH20" s="1480"/>
      <c r="AJ20" s="1480"/>
      <c r="AN20" s="1749"/>
      <c r="AO20" s="1749"/>
      <c r="AP20" s="1749"/>
      <c r="AQ20" s="1749"/>
      <c r="AR20" s="1749"/>
      <c r="AS20" s="1479">
        <v>0</v>
      </c>
    </row>
    <row s="8354"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8354" customFormat="1" customHeight="1" ht="14.25" hidden="1">
      <c r="A22" s="1744"/>
      <c r="B22" s="1744"/>
      <c r="C22" s="1744"/>
      <c r="D22" s="1744"/>
      <c r="E22" s="1744"/>
      <c r="F22" s="1744"/>
      <c r="G22" s="1744"/>
      <c r="H22" s="1744"/>
      <c r="I22" s="1744"/>
      <c r="J22" s="1744"/>
      <c r="K22" s="1744"/>
      <c r="L22" s="2052"/>
      <c r="M22" s="2078"/>
      <c r="N22" s="2078"/>
      <c r="O22" s="1423" t="s">
        <v>544</v>
      </c>
      <c r="P22" s="1475"/>
      <c r="Q22" s="1484"/>
      <c r="R22" s="1484"/>
      <c r="S22" s="842"/>
      <c r="T22" s="1479" t="s">
        <v>545</v>
      </c>
      <c r="AA22" s="708" t="s">
        <v>546</v>
      </c>
      <c r="AC22" s="708" t="s">
        <v>547</v>
      </c>
      <c r="AD22" s="1479" t="s">
        <v>545</v>
      </c>
      <c r="AI22" s="708" t="s">
        <v>548</v>
      </c>
      <c r="AK22" s="708" t="s">
        <v>547</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МУП ЖКХ "Родник"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8491"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8491" customFormat="1" customHeight="1" ht="18.75" hidden="1">
      <c r="A30" s="1361"/>
      <c r="B30" s="1361"/>
      <c r="C30" s="1361"/>
      <c r="D30" s="1361"/>
      <c r="E30" s="1361"/>
      <c r="F30" s="1361"/>
      <c r="G30" s="1361"/>
      <c r="H30" s="1361"/>
      <c r="I30" s="1361"/>
      <c r="J30" s="1361"/>
      <c r="K30" s="1361"/>
      <c r="L30" s="1493"/>
      <c r="M30" s="1361"/>
      <c r="N30" s="1361"/>
      <c r="O30" s="1361"/>
      <c r="S30" s="2363" t="s">
        <v>549</v>
      </c>
      <c r="T30" s="2363"/>
      <c r="U30" s="1485"/>
      <c r="V30" s="2377" t="str">
        <f>IF(TITLE_DATE_PR_CHANGE="",IF(TITLE_DATE_PR="","",TITLE_DATE_PR),TITLE_DATE_PR_CHANGE)</f>
        <v>45586</v>
      </c>
      <c r="W30" s="2377"/>
      <c r="X30" s="2377"/>
      <c r="Y30" s="2377"/>
      <c r="Z30" s="2377"/>
      <c r="AA30" s="2377"/>
      <c r="AB30" s="2377"/>
      <c r="AC30" s="1748"/>
      <c r="AD30" s="2377" t="str">
        <f>IF(TITLE_DATE_PR_CHANGE="",IF(TITLE_DATE_PR="","",TITLE_DATE_PR),TITLE_DATE_PR_CHANGE)</f>
        <v>45586</v>
      </c>
      <c r="AE30" s="2377"/>
      <c r="AF30" s="2377"/>
      <c r="AG30" s="2377"/>
      <c r="AH30" s="2377"/>
      <c r="AI30" s="2377"/>
      <c r="AJ30" s="2377"/>
      <c r="AK30" s="1748"/>
      <c r="AL30" s="1748"/>
      <c r="AM30" s="393"/>
      <c r="AN30" s="481"/>
      <c r="AO30" s="481"/>
      <c r="AP30" s="481"/>
      <c r="AQ30" s="481"/>
      <c r="AR30" s="481"/>
      <c r="AS30" s="531">
        <v>0</v>
      </c>
    </row>
    <row s="8491" customFormat="1" customHeight="1" ht="18.75" hidden="1">
      <c r="A31" s="1361"/>
      <c r="B31" s="1361"/>
      <c r="C31" s="1361"/>
      <c r="D31" s="1361"/>
      <c r="E31" s="1361"/>
      <c r="F31" s="1361"/>
      <c r="G31" s="1361"/>
      <c r="H31" s="1361"/>
      <c r="I31" s="1361"/>
      <c r="J31" s="1361"/>
      <c r="K31" s="1361"/>
      <c r="L31" s="1493"/>
      <c r="M31" s="1361"/>
      <c r="N31" s="1361"/>
      <c r="O31" s="1361"/>
      <c r="S31" s="2363" t="s">
        <v>550</v>
      </c>
      <c r="T31" s="2363"/>
      <c r="U31" s="1485"/>
      <c r="V31" s="2364" t="str">
        <f>IF(TITLE_NUMBER_PR_CHANGE="",IF(TITLE_NUMBER_PR="","",TITLE_NUMBER_PR),TITLE_NUMBER_PR_CHANGE)</f>
        <v>1577</v>
      </c>
      <c r="W31" s="2364"/>
      <c r="X31" s="2364"/>
      <c r="Y31" s="2364"/>
      <c r="Z31" s="2364"/>
      <c r="AA31" s="2364"/>
      <c r="AB31" s="2364"/>
      <c r="AC31" s="1748"/>
      <c r="AD31" s="2364" t="str">
        <f>IF(TITLE_NUMBER_PR_CHANGE="",IF(TITLE_NUMBER_PR="","",TITLE_NUMBER_PR),TITLE_NUMBER_PR_CHANGE)</f>
        <v>1577</v>
      </c>
      <c r="AE31" s="2364"/>
      <c r="AF31" s="2364"/>
      <c r="AG31" s="2364"/>
      <c r="AH31" s="2364"/>
      <c r="AI31" s="2364"/>
      <c r="AJ31" s="2364"/>
      <c r="AK31" s="1748"/>
      <c r="AL31" s="1748"/>
      <c r="AM31" s="393"/>
      <c r="AN31" s="481"/>
      <c r="AO31" s="481"/>
      <c r="AP31" s="481"/>
      <c r="AQ31" s="481"/>
      <c r="AR31" s="481"/>
      <c r="AS31" s="531">
        <v>0</v>
      </c>
    </row>
    <row s="8491"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8491" customFormat="1" customHeight="1" ht="18.75" hidden="1">
      <c r="A34" s="1361"/>
      <c r="B34" s="1361"/>
      <c r="C34" s="1361"/>
      <c r="D34" s="1361"/>
      <c r="E34" s="1361"/>
      <c r="F34" s="1361"/>
      <c r="G34" s="1361"/>
      <c r="H34" s="1361"/>
      <c r="I34" s="1361"/>
      <c r="J34" s="1361"/>
      <c r="K34" s="1361"/>
      <c r="L34" s="1493"/>
      <c r="M34" s="1361"/>
      <c r="N34" s="1361"/>
      <c r="O34" s="1361"/>
      <c r="S34" s="2363" t="s">
        <v>551</v>
      </c>
      <c r="T34" s="2363"/>
      <c r="U34" s="1485"/>
      <c r="V34" s="2377" t="str">
        <f>IF(TITLE_DATE_PR_CHANGE="",IF(TITLE_DATE_PR="","",TITLE_DATE_PR),TITLE_DATE_PR_CHANGE)</f>
        <v>45586</v>
      </c>
      <c r="W34" s="2377"/>
      <c r="X34" s="2377"/>
      <c r="Y34" s="2377"/>
      <c r="Z34" s="2377"/>
      <c r="AA34" s="2377"/>
      <c r="AB34" s="2377"/>
      <c r="AC34" s="1748"/>
      <c r="AD34" s="2377" t="str">
        <f>IF(TITLE_DATE_PR_CHANGE="",IF(TITLE_DATE_PR="","",TITLE_DATE_PR),TITLE_DATE_PR_CHANGE)</f>
        <v>45586</v>
      </c>
      <c r="AE34" s="2377"/>
      <c r="AF34" s="2377"/>
      <c r="AG34" s="2377"/>
      <c r="AH34" s="2377"/>
      <c r="AI34" s="2377"/>
      <c r="AJ34" s="2377"/>
      <c r="AK34" s="1748"/>
      <c r="AL34" s="1748"/>
      <c r="AM34" s="393"/>
      <c r="AN34" s="481"/>
      <c r="AO34" s="481"/>
      <c r="AP34" s="481"/>
      <c r="AQ34" s="481"/>
      <c r="AR34" s="481"/>
      <c r="AS34" s="531">
        <v>0</v>
      </c>
    </row>
    <row s="8491" customFormat="1" customHeight="1" ht="18.75" hidden="1">
      <c r="A35" s="1361"/>
      <c r="B35" s="1361"/>
      <c r="C35" s="1361"/>
      <c r="D35" s="1361"/>
      <c r="E35" s="1361"/>
      <c r="F35" s="1361"/>
      <c r="G35" s="1361"/>
      <c r="H35" s="1361"/>
      <c r="I35" s="1361"/>
      <c r="J35" s="1361"/>
      <c r="K35" s="1361"/>
      <c r="L35" s="1493"/>
      <c r="M35" s="1361"/>
      <c r="N35" s="1361"/>
      <c r="O35" s="1361"/>
      <c r="S35" s="2363" t="s">
        <v>552</v>
      </c>
      <c r="T35" s="2363"/>
      <c r="U35" s="1485"/>
      <c r="V35" s="2364" t="str">
        <f>IF(TITLE_NUMBER_PR_CHANGE="",IF(TITLE_NUMBER_PR="","",TITLE_NUMBER_PR),TITLE_NUMBER_PR_CHANGE)</f>
        <v>1577</v>
      </c>
      <c r="W35" s="2364"/>
      <c r="X35" s="2364"/>
      <c r="Y35" s="2364"/>
      <c r="Z35" s="2364"/>
      <c r="AA35" s="2364"/>
      <c r="AB35" s="2364"/>
      <c r="AC35" s="1748"/>
      <c r="AD35" s="2364" t="str">
        <f>IF(TITLE_NUMBER_PR_CHANGE="",IF(TITLE_NUMBER_PR="","",TITLE_NUMBER_PR),TITLE_NUMBER_PR_CHANGE)</f>
        <v>1577</v>
      </c>
      <c r="AE35" s="2364"/>
      <c r="AF35" s="2364"/>
      <c r="AG35" s="2364"/>
      <c r="AH35" s="2364"/>
      <c r="AI35" s="2364"/>
      <c r="AJ35" s="2364"/>
      <c r="AK35" s="1748"/>
      <c r="AL35" s="1748"/>
      <c r="AM35" s="393"/>
      <c r="AN35" s="481"/>
      <c r="AO35" s="481"/>
      <c r="AP35" s="481"/>
      <c r="AQ35" s="481"/>
      <c r="AR35" s="481"/>
      <c r="AS35" s="531">
        <v>0</v>
      </c>
    </row>
    <row s="8491"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553</v>
      </c>
      <c r="AD36" s="1748"/>
      <c r="AE36" s="1748"/>
      <c r="AF36" s="1748"/>
      <c r="AG36" s="1748"/>
      <c r="AH36" s="1748"/>
      <c r="AI36" s="1748"/>
      <c r="AJ36" s="1748"/>
      <c r="AK36" s="1755" t="s">
        <v>553</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428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429</v>
      </c>
      <c r="AS38" s="1744">
        <v>14</v>
      </c>
    </row>
    <row customHeight="1" ht="14.699999999999998">
      <c r="Q39" s="489"/>
      <c r="R39" s="489"/>
      <c r="S39" s="2386" t="s">
        <v>88</v>
      </c>
      <c r="T39" s="2322" t="s">
        <v>554</v>
      </c>
      <c r="U39" s="450"/>
      <c r="V39" s="2387" t="s">
        <v>555</v>
      </c>
      <c r="W39" s="2388"/>
      <c r="X39" s="2388"/>
      <c r="Y39" s="2388"/>
      <c r="Z39" s="2388"/>
      <c r="AA39" s="2388"/>
      <c r="AB39" s="2389"/>
      <c r="AC39" s="2390" t="s">
        <v>556</v>
      </c>
      <c r="AD39" s="2387" t="s">
        <v>555</v>
      </c>
      <c r="AE39" s="2388"/>
      <c r="AF39" s="2388"/>
      <c r="AG39" s="2388"/>
      <c r="AH39" s="2388"/>
      <c r="AI39" s="2388"/>
      <c r="AJ39" s="2389"/>
      <c r="AK39" s="2390" t="s">
        <v>557</v>
      </c>
      <c r="AL39" s="2393" t="s">
        <v>558</v>
      </c>
      <c r="AM39" s="2240"/>
      <c r="AS39" s="1744">
        <v>14</v>
      </c>
    </row>
    <row customHeight="1" ht="35.699999999999996">
      <c r="Q40" s="489"/>
      <c r="R40" s="489"/>
      <c r="S40" s="2386"/>
      <c r="T40" s="2322"/>
      <c r="U40" s="1144"/>
      <c r="V40" s="2373" t="s">
        <v>559</v>
      </c>
      <c r="W40" s="2396" t="s">
        <v>560</v>
      </c>
      <c r="X40" s="2375" t="s">
        <v>561</v>
      </c>
      <c r="Y40" s="2376"/>
      <c r="Z40" s="2375" t="s">
        <v>574</v>
      </c>
      <c r="AA40" s="2382"/>
      <c r="AB40" s="2376"/>
      <c r="AC40" s="2391"/>
      <c r="AD40" s="2373" t="s">
        <v>559</v>
      </c>
      <c r="AE40" s="2396" t="s">
        <v>560</v>
      </c>
      <c r="AF40" s="2375" t="s">
        <v>561</v>
      </c>
      <c r="AG40" s="2376"/>
      <c r="AH40" s="2375" t="s">
        <v>562</v>
      </c>
      <c r="AI40" s="2382"/>
      <c r="AJ40" s="2376"/>
      <c r="AK40" s="2391"/>
      <c r="AL40" s="2394"/>
      <c r="AM40" s="2240"/>
      <c r="AS40" s="1744">
        <v>34</v>
      </c>
    </row>
    <row customHeight="1" ht="35.699999999999996">
      <c r="A41" s="1379"/>
      <c r="B41" s="1379" t="s">
        <v>210</v>
      </c>
      <c r="C41" s="1379" t="s">
        <v>211</v>
      </c>
      <c r="D41" s="1379" t="s">
        <v>212</v>
      </c>
      <c r="E41" s="1423" t="s">
        <v>563</v>
      </c>
      <c r="F41" s="1423" t="s">
        <v>564</v>
      </c>
      <c r="G41" s="1423" t="s">
        <v>565</v>
      </c>
      <c r="H41" s="1423" t="s">
        <v>566</v>
      </c>
      <c r="I41" s="1423" t="s">
        <v>567</v>
      </c>
      <c r="J41" s="1423" t="s">
        <v>568</v>
      </c>
      <c r="K41" s="1423" t="s">
        <v>569</v>
      </c>
      <c r="L41" s="1423" t="s">
        <v>544</v>
      </c>
      <c r="Q41" s="489"/>
      <c r="R41" s="489"/>
      <c r="S41" s="2386"/>
      <c r="T41" s="2322"/>
      <c r="U41" s="415"/>
      <c r="V41" s="2374"/>
      <c r="W41" s="2397"/>
      <c r="X41" s="2051" t="s">
        <v>570</v>
      </c>
      <c r="Y41" s="2051" t="s">
        <v>571</v>
      </c>
      <c r="Z41" s="2051" t="s">
        <v>572</v>
      </c>
      <c r="AA41" s="2383" t="s">
        <v>573</v>
      </c>
      <c r="AB41" s="2384"/>
      <c r="AC41" s="2392"/>
      <c r="AD41" s="2374"/>
      <c r="AE41" s="2397"/>
      <c r="AF41" s="2051" t="s">
        <v>570</v>
      </c>
      <c r="AG41" s="2051" t="s">
        <v>571</v>
      </c>
      <c r="AH41" s="2051" t="s">
        <v>572</v>
      </c>
      <c r="AI41" s="2383" t="s">
        <v>573</v>
      </c>
      <c r="AJ41" s="2384"/>
      <c r="AK41" s="2392"/>
      <c r="AL41" s="2395"/>
      <c r="AM41" s="2240"/>
      <c r="AS41" s="1744">
        <v>34</v>
      </c>
    </row>
    <row s="8962"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187</v>
      </c>
      <c r="T42" s="1368" t="s">
        <v>104</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279</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198</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279</v>
      </c>
      <c r="B44" s="1380" t="s">
        <v>280</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525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526</v>
      </c>
      <c r="AO44" s="1737"/>
      <c r="AP44" s="1737" t="str">
        <f>IF(T44="","",T44)</f>
        <v>Территория действия тарифа</v>
      </c>
      <c r="AQ44" s="1737"/>
      <c r="AR44" s="1737"/>
      <c r="AS44" s="1744">
        <v>21</v>
      </c>
    </row>
    <row customHeight="1" ht="24">
      <c r="A45" s="1380" t="s">
        <v>279</v>
      </c>
      <c r="B45" s="1380" t="s">
        <v>280</v>
      </c>
      <c r="C45" s="1380" t="s">
        <v>281</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527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528</v>
      </c>
      <c r="AO45" s="1737"/>
      <c r="AP45" s="1737" t="str">
        <f>IF(T45="","",T45)</f>
        <v>Наименование системы теплоснабжения </v>
      </c>
      <c r="AQ45" s="1737"/>
      <c r="AR45" s="1737"/>
      <c r="AS45" s="1744">
        <v>23</v>
      </c>
    </row>
    <row customHeight="1" ht="22.049999999999997">
      <c r="A46" s="1380" t="s">
        <v>279</v>
      </c>
      <c r="B46" s="1380" t="s">
        <v>280</v>
      </c>
      <c r="C46" s="1380" t="s">
        <v>281</v>
      </c>
      <c r="D46" s="1380" t="s">
        <v>282</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529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530</v>
      </c>
      <c r="AO46" s="1737"/>
      <c r="AP46" s="1737" t="str">
        <f>IF(T46="","",T46)</f>
        <v>Источник тепловой энергии  </v>
      </c>
      <c r="AQ46" s="1737"/>
      <c r="AR46" s="1737"/>
      <c r="AS46" s="1744">
        <v>21</v>
      </c>
    </row>
    <row customHeight="1" ht="49.5">
      <c r="A47" s="1380" t="s">
        <v>279</v>
      </c>
      <c r="B47" s="1380" t="s">
        <v>280</v>
      </c>
      <c r="C47" s="1380" t="s">
        <v>281</v>
      </c>
      <c r="D47" s="1380" t="s">
        <v>282</v>
      </c>
      <c r="E47" s="2403"/>
      <c r="F47" s="2403"/>
      <c r="G47" s="2403"/>
      <c r="H47" s="2403"/>
      <c r="I47" s="2240" t="str">
        <f>S46&amp;".1"</f>
        <v>....1</v>
      </c>
      <c r="J47" s="1380"/>
      <c r="K47" s="1380"/>
      <c r="L47" s="1423" t="s">
        <v>531</v>
      </c>
      <c r="P47" s="2370">
        <v>1</v>
      </c>
      <c r="Q47" s="2067"/>
      <c r="R47" s="469"/>
      <c r="S47" s="2071" t="str">
        <f>$I47</f>
        <v>....1</v>
      </c>
      <c r="T47" s="398" t="s">
        <v>532</v>
      </c>
      <c r="U47" s="413"/>
      <c r="V47" s="2358"/>
      <c r="W47" s="2359"/>
      <c r="X47" s="2359"/>
      <c r="Y47" s="2359"/>
      <c r="Z47" s="2359"/>
      <c r="AA47" s="2359"/>
      <c r="AB47" s="2359"/>
      <c r="AC47" s="2360"/>
      <c r="AD47" s="2358"/>
      <c r="AE47" s="2359"/>
      <c r="AF47" s="2359"/>
      <c r="AG47" s="2359"/>
      <c r="AH47" s="2359"/>
      <c r="AI47" s="2359"/>
      <c r="AJ47" s="2359"/>
      <c r="AK47" s="2359"/>
      <c r="AL47" s="2360"/>
      <c r="AM47" s="1371" t="s">
        <v>533</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279</v>
      </c>
      <c r="B48" s="1380" t="s">
        <v>280</v>
      </c>
      <c r="C48" s="1380" t="s">
        <v>281</v>
      </c>
      <c r="D48" s="1380" t="s">
        <v>282</v>
      </c>
      <c r="E48" s="2403"/>
      <c r="F48" s="2403"/>
      <c r="G48" s="2403"/>
      <c r="H48" s="2403"/>
      <c r="I48" s="2214"/>
      <c r="J48" s="2240" t="str">
        <f>I47&amp;".1"</f>
        <v>....1.1</v>
      </c>
      <c r="K48" s="1380"/>
      <c r="L48" s="1423" t="s">
        <v>534</v>
      </c>
      <c r="P48" s="2370"/>
      <c r="Q48" s="2370">
        <v>1</v>
      </c>
      <c r="R48" s="470"/>
      <c r="S48" s="2071" t="str">
        <f>$J48</f>
        <v>....1.1</v>
      </c>
      <c r="T48" s="399" t="s">
        <v>535</v>
      </c>
      <c r="U48" s="413"/>
      <c r="V48" s="2358"/>
      <c r="W48" s="2359"/>
      <c r="X48" s="2359"/>
      <c r="Y48" s="2359"/>
      <c r="Z48" s="2359"/>
      <c r="AA48" s="2359"/>
      <c r="AB48" s="2359"/>
      <c r="AC48" s="2360"/>
      <c r="AD48" s="2358"/>
      <c r="AE48" s="2359"/>
      <c r="AF48" s="2359"/>
      <c r="AG48" s="2359"/>
      <c r="AH48" s="2359"/>
      <c r="AI48" s="2359"/>
      <c r="AJ48" s="2359"/>
      <c r="AK48" s="2359"/>
      <c r="AL48" s="2360"/>
      <c r="AM48" s="1371" t="s">
        <v>536</v>
      </c>
      <c r="AO48" s="1737"/>
      <c r="AP48" s="1737" t="str">
        <f>IF(T48="","",T48)</f>
        <v>Группа потребителей</v>
      </c>
      <c r="AQ48" s="1737"/>
      <c r="AR48" s="1737"/>
      <c r="AS48" s="1744">
        <v>21</v>
      </c>
    </row>
    <row customHeight="1" ht="22.049999999999997">
      <c r="A49" s="1380" t="s">
        <v>279</v>
      </c>
      <c r="B49" s="1380" t="s">
        <v>280</v>
      </c>
      <c r="C49" s="1380" t="s">
        <v>281</v>
      </c>
      <c r="D49" s="1380" t="s">
        <v>282</v>
      </c>
      <c r="E49" s="2403"/>
      <c r="F49" s="2403"/>
      <c r="G49" s="2403"/>
      <c r="H49" s="2403"/>
      <c r="I49" s="2214"/>
      <c r="J49" s="2214"/>
      <c r="K49" s="2240" t="str">
        <f>J48&amp;".1"</f>
        <v>....1.1.1</v>
      </c>
      <c r="L49" s="1423" t="s">
        <v>537</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538</v>
      </c>
      <c r="AN49" s="1749">
        <f>STRCHECKDATE(V50:AL50)</f>
      </c>
      <c r="AO49" s="1737"/>
      <c r="AP49" s="1737" t="str">
        <f>IF(T49="","",T49)</f>
        <v/>
      </c>
      <c r="AQ49" s="1737"/>
      <c r="AR49" s="1737"/>
      <c r="AS49" s="1744">
        <v>21</v>
      </c>
    </row>
    <row customHeight="1" ht="1.05">
      <c r="A50" s="1380" t="s">
        <v>279</v>
      </c>
      <c r="B50" s="1380" t="s">
        <v>280</v>
      </c>
      <c r="C50" s="1380" t="s">
        <v>281</v>
      </c>
      <c r="D50" s="1380" t="s">
        <v>282</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279</v>
      </c>
      <c r="B51" s="1380" t="s">
        <v>280</v>
      </c>
      <c r="C51" s="1380" t="s">
        <v>281</v>
      </c>
      <c r="D51" s="1380" t="s">
        <v>282</v>
      </c>
      <c r="E51" s="2403"/>
      <c r="F51" s="2403"/>
      <c r="G51" s="2403"/>
      <c r="H51" s="2403"/>
      <c r="I51" s="2214"/>
      <c r="J51" s="2240"/>
      <c r="K51" s="1380"/>
      <c r="L51" s="1423"/>
      <c r="P51" s="2370"/>
      <c r="Q51" s="2370"/>
      <c r="R51" s="469"/>
      <c r="S51" s="1391"/>
      <c r="T51" s="401" t="s">
        <v>539</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279</v>
      </c>
      <c r="B52" s="1380" t="s">
        <v>280</v>
      </c>
      <c r="C52" s="1380" t="s">
        <v>281</v>
      </c>
      <c r="D52" s="1380" t="s">
        <v>282</v>
      </c>
      <c r="E52" s="2403"/>
      <c r="F52" s="2403"/>
      <c r="G52" s="2403"/>
      <c r="H52" s="2403"/>
      <c r="I52" s="2240"/>
      <c r="J52" s="1380"/>
      <c r="K52" s="1380"/>
      <c r="L52" s="1423"/>
      <c r="P52" s="2370"/>
      <c r="Q52" s="2067"/>
      <c r="R52" s="469"/>
      <c r="S52" s="1391"/>
      <c r="T52" s="400" t="s">
        <v>540</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279</v>
      </c>
      <c r="B53" s="1380" t="s">
        <v>280</v>
      </c>
      <c r="C53" s="1380" t="s">
        <v>281</v>
      </c>
      <c r="D53" s="1380" t="s">
        <v>282</v>
      </c>
      <c r="E53" s="2403"/>
      <c r="F53" s="2403"/>
      <c r="G53" s="2403"/>
      <c r="H53" s="2402"/>
      <c r="I53" s="1380"/>
      <c r="J53" s="1380"/>
      <c r="K53" s="1380"/>
      <c r="L53" s="1423"/>
      <c r="M53" s="1723"/>
      <c r="N53" s="1723"/>
      <c r="O53" s="1748"/>
      <c r="P53" s="473"/>
      <c r="Q53" s="488"/>
      <c r="R53" s="468"/>
      <c r="S53" s="1391"/>
      <c r="T53" s="478" t="s">
        <v>541</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8355" customFormat="1" customHeight="1" ht="1.05">
      <c r="A54" s="1380" t="s">
        <v>279</v>
      </c>
      <c r="B54" s="1380" t="s">
        <v>280</v>
      </c>
      <c r="C54" s="1380" t="s">
        <v>281</v>
      </c>
      <c r="D54" s="2087"/>
      <c r="E54" s="2403"/>
      <c r="F54" s="2403"/>
      <c r="G54" s="2402"/>
      <c r="H54" s="2087"/>
      <c r="I54" s="2087"/>
      <c r="J54" s="2087"/>
      <c r="K54" s="2087"/>
      <c r="L54" s="1493"/>
      <c r="M54" s="1723"/>
      <c r="N54" s="1723"/>
      <c r="O54" s="1748"/>
      <c r="P54" s="1429"/>
      <c r="Q54" s="1430"/>
      <c r="R54" s="1429"/>
      <c r="S54" s="1435"/>
      <c r="T54" s="1438" t="s">
        <v>542</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8355" customFormat="1" customHeight="1" ht="1.05">
      <c r="A55" s="1380" t="s">
        <v>279</v>
      </c>
      <c r="B55" s="1380" t="s">
        <v>280</v>
      </c>
      <c r="C55" s="2087"/>
      <c r="D55" s="2087"/>
      <c r="E55" s="2403"/>
      <c r="F55" s="2402"/>
      <c r="G55" s="2087"/>
      <c r="H55" s="2087"/>
      <c r="I55" s="2087"/>
      <c r="J55" s="2087"/>
      <c r="K55" s="2087"/>
      <c r="L55" s="1493"/>
      <c r="M55" s="2088"/>
      <c r="N55" s="2088"/>
      <c r="O55" s="1748"/>
      <c r="P55" s="1429"/>
      <c r="Q55" s="1430"/>
      <c r="R55" s="1429"/>
      <c r="S55" s="1435"/>
      <c r="T55" s="1438" t="s">
        <v>298</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8355" customFormat="1" customHeight="1" ht="1.05">
      <c r="A56" s="1380" t="s">
        <v>279</v>
      </c>
      <c r="B56" s="1380"/>
      <c r="C56" s="1380"/>
      <c r="D56" s="1380"/>
      <c r="E56" s="2402"/>
      <c r="F56" s="1380"/>
      <c r="G56" s="1380"/>
      <c r="H56" s="1380"/>
      <c r="I56" s="1380"/>
      <c r="J56" s="1380"/>
      <c r="K56" s="1380"/>
      <c r="L56" s="1423"/>
      <c r="M56" s="2088"/>
      <c r="N56" s="2088"/>
      <c r="O56" s="1748"/>
      <c r="P56" s="493"/>
      <c r="Q56" s="1457"/>
      <c r="R56" s="493"/>
      <c r="S56" s="1435"/>
      <c r="T56" s="1438" t="s">
        <v>355</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8355"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356</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C45747-9507-71FD-FE8F-4978FFD0054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354" width="10.57421875" hidden="1"/>
    <col min="2" max="2" style="8354" width="11.00390625" hidden="1" customWidth="1"/>
    <col min="3" max="3" style="8354" width="10.57421875" hidden="1"/>
    <col min="4" max="4" style="8354" width="11.8515625" hidden="1" customWidth="1"/>
    <col min="5" max="5" style="8354" width="10.00390625" hidden="1" customWidth="1"/>
    <col min="6" max="6" style="8354" width="8.7109375" hidden="1" customWidth="1"/>
    <col min="7" max="7" style="8354" width="7.57421875" hidden="1" customWidth="1"/>
    <col min="8" max="8" style="8354" width="11.421875" hidden="1" customWidth="1"/>
    <col min="9" max="9" style="8354" width="12.00390625" hidden="1" customWidth="1"/>
    <col min="10" max="10" style="8354" width="9.8515625" hidden="1" customWidth="1"/>
    <col min="11" max="11" style="8354" width="11.421875" hidden="1" customWidth="1"/>
    <col min="12" max="12" style="9204" width="19.140625" hidden="1" customWidth="1"/>
    <col min="13" max="14" style="9205" width="12.28125" hidden="1" customWidth="1"/>
    <col min="15" max="15" style="9205" width="23.421875" hidden="1" customWidth="1"/>
    <col min="16" max="16" style="9206" width="3.00390625" customWidth="1"/>
    <col min="17" max="18" style="9207" width="3.00390625" customWidth="1"/>
    <col min="19" max="19" style="9208" width="12.00390625" customWidth="1"/>
    <col min="20" max="20" style="8273" width="31.00390625" customWidth="1"/>
    <col min="21" max="21" style="8273" width="0.7109375" hidden="1" customWidth="1"/>
    <col min="22" max="22" style="8273" width="1.7109375" hidden="1" customWidth="1"/>
    <col min="23" max="23" style="8273" width="24.7109375" hidden="1" customWidth="1"/>
    <col min="24" max="25" style="8273" width="0.140625" hidden="1" customWidth="1"/>
    <col min="26" max="26" style="8273" width="11.7109375" hidden="1" customWidth="1"/>
    <col min="27" max="27" style="8273" width="3.7109375" hidden="1" customWidth="1"/>
    <col min="28" max="28" style="8273" width="11.7109375" hidden="1" customWidth="1"/>
    <col min="29" max="29" style="8273" width="8.57421875" hidden="1" customWidth="1"/>
    <col min="30" max="30" style="8273" width="0.140625" customWidth="1"/>
    <col min="31" max="31" style="8273" width="24.00390625" customWidth="1"/>
    <col min="32" max="33" style="8273" width="0.140625" customWidth="1"/>
    <col min="34" max="34" style="8273" width="11.00390625" customWidth="1"/>
    <col min="35" max="35" style="8273" width="3.7109375" customWidth="1"/>
    <col min="36" max="36" style="8273" width="11.00390625" customWidth="1"/>
    <col min="37" max="37" style="8273" width="8.57421875" hidden="1" customWidth="1"/>
    <col min="38" max="38" style="8273" width="4.00390625" customWidth="1"/>
    <col min="39" max="39" style="8273" width="115.00390625" customWidth="1"/>
    <col min="40" max="44" style="8355" width="10.00390625" customWidth="1"/>
    <col min="45" max="45" style="8273"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198</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524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525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526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527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528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529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530</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531</v>
      </c>
      <c r="M6" s="650"/>
      <c r="P6" s="2370">
        <v>1</v>
      </c>
      <c r="Q6" s="1444"/>
      <c r="R6" s="469"/>
      <c r="S6" s="1449">
        <f>$I6</f>
      </c>
      <c r="T6" s="398" t="s">
        <v>532</v>
      </c>
      <c r="U6" s="413"/>
      <c r="V6" s="2358"/>
      <c r="W6" s="2359"/>
      <c r="X6" s="2359"/>
      <c r="Y6" s="2359"/>
      <c r="Z6" s="2359"/>
      <c r="AA6" s="2359"/>
      <c r="AB6" s="2359"/>
      <c r="AC6" s="2360"/>
      <c r="AD6" s="2358"/>
      <c r="AE6" s="2359"/>
      <c r="AF6" s="2359"/>
      <c r="AG6" s="2359"/>
      <c r="AH6" s="2359"/>
      <c r="AI6" s="2359"/>
      <c r="AJ6" s="2359"/>
      <c r="AK6" s="2359"/>
      <c r="AL6" s="2360"/>
      <c r="AM6" s="1371" t="s">
        <v>533</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534</v>
      </c>
      <c r="M7" s="650"/>
      <c r="N7" s="1479"/>
      <c r="P7" s="2370"/>
      <c r="Q7" s="2370">
        <v>1</v>
      </c>
      <c r="R7" s="470"/>
      <c r="S7" s="1449">
        <f>$J7</f>
      </c>
      <c r="T7" s="399" t="s">
        <v>535</v>
      </c>
      <c r="U7" s="413"/>
      <c r="V7" s="2358"/>
      <c r="W7" s="2359"/>
      <c r="X7" s="2359"/>
      <c r="Y7" s="2359"/>
      <c r="Z7" s="2359"/>
      <c r="AA7" s="2359"/>
      <c r="AB7" s="2359"/>
      <c r="AC7" s="2360"/>
      <c r="AD7" s="2358"/>
      <c r="AE7" s="2359"/>
      <c r="AF7" s="2359"/>
      <c r="AG7" s="2359"/>
      <c r="AH7" s="2359"/>
      <c r="AI7" s="2359"/>
      <c r="AJ7" s="2359"/>
      <c r="AK7" s="2359"/>
      <c r="AL7" s="2360"/>
      <c r="AM7" s="1371" t="s">
        <v>536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537</v>
      </c>
      <c r="M8" s="650"/>
      <c r="N8" s="1479"/>
      <c r="O8" s="1479"/>
      <c r="P8" s="2370"/>
      <c r="Q8" s="2370"/>
      <c r="R8" s="470">
        <v>1</v>
      </c>
      <c r="S8" s="1449">
        <f>$K8</f>
      </c>
      <c r="T8" s="1460"/>
      <c r="U8" s="413"/>
      <c r="V8" s="438"/>
      <c r="W8" s="864"/>
      <c r="X8" s="438"/>
      <c r="Y8" s="497"/>
      <c r="Z8" s="2378"/>
      <c r="AA8" s="2220" t="s">
        <v>66</v>
      </c>
      <c r="AB8" s="2378"/>
      <c r="AC8" s="2220" t="s">
        <v>66</v>
      </c>
      <c r="AD8" s="438"/>
      <c r="AE8" s="864"/>
      <c r="AF8" s="438"/>
      <c r="AG8" s="497"/>
      <c r="AH8" s="2378"/>
      <c r="AI8" s="2220" t="s">
        <v>66</v>
      </c>
      <c r="AJ8" s="2378"/>
      <c r="AK8" s="2220" t="s">
        <v>66</v>
      </c>
      <c r="AL8" s="438"/>
      <c r="AM8" s="2366" t="s">
        <v>538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539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540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541</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835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542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835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298</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835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355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8354" customFormat="1" customHeight="1" ht="22.5" hidden="1">
      <c r="L20" s="1442"/>
      <c r="M20" s="1475"/>
      <c r="N20" s="1475"/>
      <c r="O20" s="1480" t="s">
        <v>543</v>
      </c>
      <c r="P20" s="1475"/>
      <c r="Q20" s="1484"/>
      <c r="R20" s="1484"/>
      <c r="S20" s="842"/>
      <c r="Z20" s="1480"/>
      <c r="AB20" s="1480"/>
      <c r="AC20" s="1479"/>
      <c r="AH20" s="1480"/>
      <c r="AJ20" s="1480"/>
      <c r="AK20" s="1479"/>
      <c r="AN20" s="624"/>
      <c r="AO20" s="624"/>
      <c r="AP20" s="624"/>
      <c r="AQ20" s="624"/>
      <c r="AR20" s="624"/>
      <c r="AS20" s="1273">
        <v>0</v>
      </c>
    </row>
    <row s="8354" customFormat="1" customHeight="1" ht="14.25" hidden="1">
      <c r="L21" s="1442"/>
      <c r="M21" s="1475"/>
      <c r="N21" s="1475"/>
      <c r="O21" s="1475"/>
      <c r="P21" s="1475"/>
      <c r="Q21" s="1484"/>
      <c r="R21" s="1484"/>
      <c r="S21" s="842"/>
      <c r="AC21" s="1479"/>
      <c r="AK21" s="1479"/>
      <c r="AN21" s="624"/>
      <c r="AO21" s="624"/>
      <c r="AP21" s="624"/>
      <c r="AQ21" s="624"/>
      <c r="AR21" s="624"/>
      <c r="AS21" s="1273">
        <v>0</v>
      </c>
    </row>
    <row s="8354" customFormat="1" customHeight="1" ht="33.75" hidden="1">
      <c r="L22" s="1442"/>
      <c r="M22" s="1475"/>
      <c r="N22" s="1475"/>
      <c r="O22" s="1477" t="s">
        <v>544</v>
      </c>
      <c r="P22" s="1475"/>
      <c r="Q22" s="1484"/>
      <c r="R22" s="1484"/>
      <c r="S22" s="842"/>
      <c r="T22" s="1273" t="s">
        <v>545</v>
      </c>
      <c r="AA22" s="299" t="s">
        <v>546</v>
      </c>
      <c r="AC22" s="299" t="s">
        <v>547</v>
      </c>
      <c r="AD22" s="1273" t="s">
        <v>545</v>
      </c>
      <c r="AI22" s="299" t="s">
        <v>548</v>
      </c>
      <c r="AK22" s="299" t="s">
        <v>547</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МУП ЖКХ "Родник"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8491"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8491" customFormat="1" customHeight="1" ht="18.75" hidden="1">
      <c r="A30" s="1481"/>
      <c r="B30" s="1481"/>
      <c r="C30" s="1481"/>
      <c r="D30" s="1481"/>
      <c r="E30" s="1481"/>
      <c r="F30" s="1481"/>
      <c r="G30" s="1481"/>
      <c r="H30" s="1481"/>
      <c r="I30" s="1481"/>
      <c r="J30" s="1481"/>
      <c r="K30" s="1481"/>
      <c r="L30" s="1482"/>
      <c r="M30" s="1481"/>
      <c r="N30" s="1481"/>
      <c r="O30" s="1481"/>
      <c r="S30" s="2363" t="s">
        <v>549</v>
      </c>
      <c r="T30" s="2363"/>
      <c r="U30" s="1485"/>
      <c r="V30" s="2377" t="str">
        <f>IF(TITLE_DATE_PR_CHANGE="",IF(TITLE_DATE_PR="","",TITLE_DATE_PR),TITLE_DATE_PR_CHANGE)</f>
        <v>45586</v>
      </c>
      <c r="W30" s="2377"/>
      <c r="X30" s="2377"/>
      <c r="Y30" s="2377"/>
      <c r="Z30" s="2377"/>
      <c r="AA30" s="2377"/>
      <c r="AB30" s="2377"/>
      <c r="AC30" s="439"/>
      <c r="AD30" s="2377" t="str">
        <f>IF(TITLE_DATE_PR_CHANGE="",IF(TITLE_DATE_PR="","",TITLE_DATE_PR),TITLE_DATE_PR_CHANGE)</f>
        <v>45586</v>
      </c>
      <c r="AE30" s="2377"/>
      <c r="AF30" s="2377"/>
      <c r="AG30" s="2377"/>
      <c r="AH30" s="2377"/>
      <c r="AI30" s="2377"/>
      <c r="AJ30" s="2377"/>
      <c r="AK30" s="439"/>
      <c r="AL30" s="439"/>
      <c r="AM30" s="393"/>
      <c r="AN30" s="481"/>
      <c r="AO30" s="481"/>
      <c r="AP30" s="481"/>
      <c r="AQ30" s="481"/>
      <c r="AR30" s="481"/>
      <c r="AS30" s="531">
        <v>0</v>
      </c>
    </row>
    <row s="8491" customFormat="1" customHeight="1" ht="18.75" hidden="1">
      <c r="A31" s="1481"/>
      <c r="B31" s="1481"/>
      <c r="C31" s="1481"/>
      <c r="D31" s="1481"/>
      <c r="E31" s="1481"/>
      <c r="F31" s="1481"/>
      <c r="G31" s="1481"/>
      <c r="H31" s="1481"/>
      <c r="I31" s="1481"/>
      <c r="J31" s="1481"/>
      <c r="K31" s="1481"/>
      <c r="L31" s="1482"/>
      <c r="M31" s="1481"/>
      <c r="N31" s="1481"/>
      <c r="O31" s="1481"/>
      <c r="S31" s="2363" t="s">
        <v>550</v>
      </c>
      <c r="T31" s="2363"/>
      <c r="U31" s="1485"/>
      <c r="V31" s="2364" t="str">
        <f>IF(TITLE_NUMBER_PR_CHANGE="",IF(TITLE_NUMBER_PR="","",TITLE_NUMBER_PR),TITLE_NUMBER_PR_CHANGE)</f>
        <v>1577</v>
      </c>
      <c r="W31" s="2364"/>
      <c r="X31" s="2364"/>
      <c r="Y31" s="2364"/>
      <c r="Z31" s="2364"/>
      <c r="AA31" s="2364"/>
      <c r="AB31" s="2364"/>
      <c r="AC31" s="439"/>
      <c r="AD31" s="2364" t="str">
        <f>IF(TITLE_NUMBER_PR_CHANGE="",IF(TITLE_NUMBER_PR="","",TITLE_NUMBER_PR),TITLE_NUMBER_PR_CHANGE)</f>
        <v>1577</v>
      </c>
      <c r="AE31" s="2364"/>
      <c r="AF31" s="2364"/>
      <c r="AG31" s="2364"/>
      <c r="AH31" s="2364"/>
      <c r="AI31" s="2364"/>
      <c r="AJ31" s="2364"/>
      <c r="AK31" s="439"/>
      <c r="AL31" s="439"/>
      <c r="AM31" s="393"/>
      <c r="AN31" s="481"/>
      <c r="AO31" s="481"/>
      <c r="AP31" s="481"/>
      <c r="AQ31" s="481"/>
      <c r="AR31" s="481"/>
      <c r="AS31" s="531">
        <v>0</v>
      </c>
    </row>
    <row s="8491"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8491" customFormat="1" customHeight="1" ht="18.75">
      <c r="A34" s="1481"/>
      <c r="B34" s="1481"/>
      <c r="C34" s="1481"/>
      <c r="D34" s="1481"/>
      <c r="E34" s="1481"/>
      <c r="F34" s="1481"/>
      <c r="G34" s="1481"/>
      <c r="H34" s="1481"/>
      <c r="I34" s="1481"/>
      <c r="J34" s="1481"/>
      <c r="K34" s="1481"/>
      <c r="L34" s="1482"/>
      <c r="M34" s="1481"/>
      <c r="N34" s="1481"/>
      <c r="O34" s="1481"/>
      <c r="S34" s="2363" t="s">
        <v>551</v>
      </c>
      <c r="T34" s="2363"/>
      <c r="U34" s="1485"/>
      <c r="V34" s="2377" t="str">
        <f>IF(TITLE_DATE_PR_CHANGE="",IF(TITLE_DATE_PR="","",TITLE_DATE_PR),TITLE_DATE_PR_CHANGE)</f>
        <v>45586</v>
      </c>
      <c r="W34" s="2377"/>
      <c r="X34" s="2377"/>
      <c r="Y34" s="2377"/>
      <c r="Z34" s="2377"/>
      <c r="AA34" s="2377"/>
      <c r="AB34" s="2377"/>
      <c r="AC34" s="439"/>
      <c r="AD34" s="2377" t="str">
        <f>IF(TITLE_DATE_PR_CHANGE="",IF(TITLE_DATE_PR="","",TITLE_DATE_PR),TITLE_DATE_PR_CHANGE)</f>
        <v>45586</v>
      </c>
      <c r="AE34" s="2377"/>
      <c r="AF34" s="2377"/>
      <c r="AG34" s="2377"/>
      <c r="AH34" s="2377"/>
      <c r="AI34" s="2377"/>
      <c r="AJ34" s="2377"/>
      <c r="AK34" s="439"/>
      <c r="AL34" s="439"/>
      <c r="AM34" s="393"/>
      <c r="AN34" s="481"/>
      <c r="AO34" s="481"/>
      <c r="AP34" s="481"/>
      <c r="AQ34" s="481"/>
      <c r="AR34" s="481"/>
      <c r="AS34" s="531">
        <v>0</v>
      </c>
    </row>
    <row s="8491" customFormat="1" customHeight="1" ht="18.75">
      <c r="A35" s="1481"/>
      <c r="B35" s="1481"/>
      <c r="C35" s="1481"/>
      <c r="D35" s="1481"/>
      <c r="E35" s="1481"/>
      <c r="F35" s="1481"/>
      <c r="G35" s="1481"/>
      <c r="H35" s="1481"/>
      <c r="I35" s="1481"/>
      <c r="J35" s="1481"/>
      <c r="K35" s="1481"/>
      <c r="L35" s="1482"/>
      <c r="M35" s="1481"/>
      <c r="N35" s="1481"/>
      <c r="O35" s="1481"/>
      <c r="S35" s="2363" t="s">
        <v>552</v>
      </c>
      <c r="T35" s="2363"/>
      <c r="U35" s="1485"/>
      <c r="V35" s="2364" t="str">
        <f>IF(TITLE_NUMBER_PR_CHANGE="",IF(TITLE_NUMBER_PR="","",TITLE_NUMBER_PR),TITLE_NUMBER_PR_CHANGE)</f>
        <v>1577</v>
      </c>
      <c r="W35" s="2364"/>
      <c r="X35" s="2364"/>
      <c r="Y35" s="2364"/>
      <c r="Z35" s="2364"/>
      <c r="AA35" s="2364"/>
      <c r="AB35" s="2364"/>
      <c r="AC35" s="439"/>
      <c r="AD35" s="2364" t="str">
        <f>IF(TITLE_NUMBER_PR_CHANGE="",IF(TITLE_NUMBER_PR="","",TITLE_NUMBER_PR),TITLE_NUMBER_PR_CHANGE)</f>
        <v>1577</v>
      </c>
      <c r="AE35" s="2364"/>
      <c r="AF35" s="2364"/>
      <c r="AG35" s="2364"/>
      <c r="AH35" s="2364"/>
      <c r="AI35" s="2364"/>
      <c r="AJ35" s="2364"/>
      <c r="AK35" s="439"/>
      <c r="AL35" s="439"/>
      <c r="AM35" s="393"/>
      <c r="AN35" s="481"/>
      <c r="AO35" s="481"/>
      <c r="AP35" s="481"/>
      <c r="AQ35" s="481"/>
      <c r="AR35" s="481"/>
      <c r="AS35" s="531">
        <v>0</v>
      </c>
    </row>
    <row s="849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553</v>
      </c>
      <c r="AD36" s="439"/>
      <c r="AE36" s="439"/>
      <c r="AF36" s="439"/>
      <c r="AG36" s="439"/>
      <c r="AH36" s="439"/>
      <c r="AI36" s="439"/>
      <c r="AJ36" s="439"/>
      <c r="AK36" s="391" t="s">
        <v>553</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428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429</v>
      </c>
      <c r="AS38" s="1268">
        <v>14</v>
      </c>
    </row>
    <row customHeight="1" ht="14.699999999999998">
      <c r="Q39" s="489"/>
      <c r="R39" s="489"/>
      <c r="S39" s="2386" t="s">
        <v>88</v>
      </c>
      <c r="T39" s="2322" t="s">
        <v>554</v>
      </c>
      <c r="U39" s="414"/>
      <c r="V39" s="2387" t="s">
        <v>555</v>
      </c>
      <c r="W39" s="2388"/>
      <c r="X39" s="2404"/>
      <c r="Y39" s="2404"/>
      <c r="Z39" s="2388"/>
      <c r="AA39" s="2388"/>
      <c r="AB39" s="2389"/>
      <c r="AC39" s="2390" t="s">
        <v>556</v>
      </c>
      <c r="AD39" s="2387" t="s">
        <v>555</v>
      </c>
      <c r="AE39" s="2388"/>
      <c r="AF39" s="2404"/>
      <c r="AG39" s="2404"/>
      <c r="AH39" s="2388"/>
      <c r="AI39" s="2388"/>
      <c r="AJ39" s="2389"/>
      <c r="AK39" s="2390" t="s">
        <v>557</v>
      </c>
      <c r="AL39" s="2393" t="s">
        <v>558</v>
      </c>
      <c r="AM39" s="2240"/>
      <c r="AS39" s="1268">
        <v>14</v>
      </c>
    </row>
    <row customHeight="1" ht="24">
      <c r="Q40" s="489"/>
      <c r="R40" s="489"/>
      <c r="S40" s="2386"/>
      <c r="T40" s="2322"/>
      <c r="U40" s="1144"/>
      <c r="V40" s="2405" t="s">
        <v>559</v>
      </c>
      <c r="W40" s="2407" t="s">
        <v>560</v>
      </c>
      <c r="X40" s="1489" t="s">
        <v>561</v>
      </c>
      <c r="Y40" s="1489"/>
      <c r="Z40" s="2382" t="s">
        <v>562</v>
      </c>
      <c r="AA40" s="2382"/>
      <c r="AB40" s="2376"/>
      <c r="AC40" s="2391"/>
      <c r="AD40" s="2405" t="s">
        <v>559</v>
      </c>
      <c r="AE40" s="2407" t="s">
        <v>560</v>
      </c>
      <c r="AF40" s="1489" t="s">
        <v>561</v>
      </c>
      <c r="AG40" s="1489"/>
      <c r="AH40" s="2382" t="s">
        <v>562</v>
      </c>
      <c r="AI40" s="2382"/>
      <c r="AJ40" s="2376"/>
      <c r="AK40" s="2391"/>
      <c r="AL40" s="2394"/>
      <c r="AM40" s="2240"/>
      <c r="AS40" s="1268">
        <v>23</v>
      </c>
    </row>
    <row s="8543" customFormat="1" customHeight="1" ht="24">
      <c r="A41" s="1483"/>
      <c r="B41" s="1483" t="s">
        <v>210</v>
      </c>
      <c r="C41" s="1483" t="s">
        <v>211</v>
      </c>
      <c r="D41" s="1483" t="s">
        <v>212</v>
      </c>
      <c r="E41" s="1477" t="s">
        <v>563</v>
      </c>
      <c r="F41" s="1477" t="s">
        <v>564</v>
      </c>
      <c r="G41" s="1477" t="s">
        <v>565</v>
      </c>
      <c r="H41" s="1477" t="s">
        <v>566</v>
      </c>
      <c r="I41" s="1477" t="s">
        <v>567</v>
      </c>
      <c r="J41" s="1477" t="s">
        <v>568</v>
      </c>
      <c r="K41" s="1477" t="s">
        <v>569</v>
      </c>
      <c r="L41" s="1477" t="s">
        <v>544</v>
      </c>
      <c r="M41" s="1475"/>
      <c r="N41" s="1475"/>
      <c r="O41" s="1475"/>
      <c r="P41" s="1441"/>
      <c r="Q41" s="489"/>
      <c r="R41" s="489"/>
      <c r="S41" s="2386"/>
      <c r="T41" s="2322"/>
      <c r="U41" s="415"/>
      <c r="V41" s="2406"/>
      <c r="W41" s="2408"/>
      <c r="X41" s="1486" t="s">
        <v>570</v>
      </c>
      <c r="Y41" s="1486" t="s">
        <v>571</v>
      </c>
      <c r="Z41" s="1447" t="s">
        <v>572</v>
      </c>
      <c r="AA41" s="2383" t="s">
        <v>573</v>
      </c>
      <c r="AB41" s="2384"/>
      <c r="AC41" s="2392"/>
      <c r="AD41" s="2406"/>
      <c r="AE41" s="2408"/>
      <c r="AF41" s="1486" t="s">
        <v>570</v>
      </c>
      <c r="AG41" s="1486" t="s">
        <v>571</v>
      </c>
      <c r="AH41" s="1447" t="s">
        <v>572</v>
      </c>
      <c r="AI41" s="2383" t="s">
        <v>573</v>
      </c>
      <c r="AJ41" s="2384"/>
      <c r="AK41" s="2392"/>
      <c r="AL41" s="2395"/>
      <c r="AM41" s="2240"/>
      <c r="AN41" s="624"/>
      <c r="AO41" s="613"/>
      <c r="AP41" s="613"/>
      <c r="AQ41" s="613"/>
      <c r="AR41" s="613"/>
      <c r="AS41" s="695">
        <v>23</v>
      </c>
    </row>
    <row s="896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187</v>
      </c>
      <c r="T42" s="1368" t="s">
        <v>104</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261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198</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261</v>
      </c>
      <c r="B44" s="1476" t="s">
        <v>262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525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526</v>
      </c>
      <c r="AO44" s="613"/>
      <c r="AP44" s="613" t="str">
        <f>IF(T44="","",T44)</f>
        <v>Территория действия тарифа</v>
      </c>
      <c r="AQ44" s="613"/>
      <c r="AR44" s="613"/>
      <c r="AS44" s="1268">
        <v>21</v>
      </c>
    </row>
    <row customHeight="1" ht="24">
      <c r="A45" s="1476" t="s">
        <v>261</v>
      </c>
      <c r="B45" s="1476" t="s">
        <v>262</v>
      </c>
      <c r="C45" s="1476" t="s">
        <v>263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527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528</v>
      </c>
      <c r="AO45" s="613"/>
      <c r="AP45" s="613" t="str">
        <f>IF(T45="","",T45)</f>
        <v>Наименование системы теплоснабжения </v>
      </c>
      <c r="AQ45" s="613"/>
      <c r="AR45" s="613"/>
      <c r="AS45" s="1268">
        <v>23</v>
      </c>
    </row>
    <row customHeight="1" ht="22.049999999999997">
      <c r="A46" s="1476" t="s">
        <v>261</v>
      </c>
      <c r="B46" s="1476" t="s">
        <v>262</v>
      </c>
      <c r="C46" s="1476" t="s">
        <v>263</v>
      </c>
      <c r="D46" s="1476" t="s">
        <v>264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529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530</v>
      </c>
      <c r="AO46" s="613"/>
      <c r="AP46" s="613" t="str">
        <f>IF(T46="","",T46)</f>
        <v>Источник тепловой энергии  </v>
      </c>
      <c r="AQ46" s="613"/>
      <c r="AR46" s="613"/>
      <c r="AS46" s="1268">
        <v>21</v>
      </c>
    </row>
    <row customHeight="1" ht="49.5">
      <c r="A47" s="1476" t="s">
        <v>261</v>
      </c>
      <c r="B47" s="1476" t="s">
        <v>262</v>
      </c>
      <c r="C47" s="1476" t="s">
        <v>263</v>
      </c>
      <c r="D47" s="1476" t="s">
        <v>264</v>
      </c>
      <c r="E47" s="2372"/>
      <c r="F47" s="2372"/>
      <c r="G47" s="2372"/>
      <c r="H47" s="2372"/>
      <c r="I47" s="2369" t="str">
        <f>S46&amp;".1"</f>
        <v>....1</v>
      </c>
      <c r="J47" s="1476"/>
      <c r="K47" s="1476"/>
      <c r="L47" s="1477" t="s">
        <v>531</v>
      </c>
      <c r="P47" s="2370">
        <v>1</v>
      </c>
      <c r="Q47" s="1444"/>
      <c r="R47" s="469"/>
      <c r="S47" s="1449" t="str">
        <f>$I47</f>
        <v>....1</v>
      </c>
      <c r="T47" s="398" t="s">
        <v>532</v>
      </c>
      <c r="U47" s="413"/>
      <c r="V47" s="2358"/>
      <c r="W47" s="2359"/>
      <c r="X47" s="2359"/>
      <c r="Y47" s="2359"/>
      <c r="Z47" s="2359"/>
      <c r="AA47" s="2359"/>
      <c r="AB47" s="2359"/>
      <c r="AC47" s="2360"/>
      <c r="AD47" s="2358"/>
      <c r="AE47" s="2359"/>
      <c r="AF47" s="2359"/>
      <c r="AG47" s="2359"/>
      <c r="AH47" s="2359"/>
      <c r="AI47" s="2359"/>
      <c r="AJ47" s="2359"/>
      <c r="AK47" s="2359"/>
      <c r="AL47" s="2360"/>
      <c r="AM47" s="1371" t="s">
        <v>533</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261</v>
      </c>
      <c r="B48" s="1476" t="s">
        <v>262</v>
      </c>
      <c r="C48" s="1476" t="s">
        <v>263</v>
      </c>
      <c r="D48" s="1476" t="s">
        <v>264</v>
      </c>
      <c r="E48" s="2372"/>
      <c r="F48" s="2372"/>
      <c r="G48" s="2372"/>
      <c r="H48" s="2372"/>
      <c r="I48" s="2399"/>
      <c r="J48" s="2369" t="str">
        <f>I47&amp;".1"</f>
        <v>....1.1</v>
      </c>
      <c r="K48" s="1476"/>
      <c r="L48" s="1477" t="s">
        <v>534</v>
      </c>
      <c r="P48" s="2370"/>
      <c r="Q48" s="2370">
        <v>1</v>
      </c>
      <c r="R48" s="470"/>
      <c r="S48" s="1449" t="str">
        <f>$J48</f>
        <v>....1.1</v>
      </c>
      <c r="T48" s="399" t="s">
        <v>535</v>
      </c>
      <c r="U48" s="413"/>
      <c r="V48" s="2358"/>
      <c r="W48" s="2359"/>
      <c r="X48" s="2359"/>
      <c r="Y48" s="2359"/>
      <c r="Z48" s="2359"/>
      <c r="AA48" s="2359"/>
      <c r="AB48" s="2359"/>
      <c r="AC48" s="2360"/>
      <c r="AD48" s="2358"/>
      <c r="AE48" s="2359"/>
      <c r="AF48" s="2359"/>
      <c r="AG48" s="2359"/>
      <c r="AH48" s="2359"/>
      <c r="AI48" s="2359"/>
      <c r="AJ48" s="2359"/>
      <c r="AK48" s="2359"/>
      <c r="AL48" s="2360"/>
      <c r="AM48" s="1371" t="s">
        <v>536</v>
      </c>
      <c r="AO48" s="613"/>
      <c r="AP48" s="613" t="str">
        <f>IF(T48="","",T48)</f>
        <v>Группа потребителей</v>
      </c>
      <c r="AQ48" s="613"/>
      <c r="AR48" s="613"/>
      <c r="AS48" s="1268">
        <v>21</v>
      </c>
    </row>
    <row customHeight="1" ht="22.049999999999997">
      <c r="A49" s="1476" t="s">
        <v>261</v>
      </c>
      <c r="B49" s="1476" t="s">
        <v>262</v>
      </c>
      <c r="C49" s="1476" t="s">
        <v>263</v>
      </c>
      <c r="D49" s="1476" t="s">
        <v>264</v>
      </c>
      <c r="E49" s="2372"/>
      <c r="F49" s="2372"/>
      <c r="G49" s="2372"/>
      <c r="H49" s="2372"/>
      <c r="I49" s="2399"/>
      <c r="J49" s="2399"/>
      <c r="K49" s="2369" t="str">
        <f>J48&amp;".1"</f>
        <v>....1.1.1</v>
      </c>
      <c r="L49" s="1477" t="s">
        <v>537</v>
      </c>
      <c r="P49" s="2370"/>
      <c r="Q49" s="2370"/>
      <c r="R49" s="470">
        <v>1</v>
      </c>
      <c r="S49" s="1449" t="str">
        <f>$K49</f>
        <v>....1.1.1</v>
      </c>
      <c r="T49" s="1460"/>
      <c r="U49" s="413"/>
      <c r="V49" s="438"/>
      <c r="W49" s="864"/>
      <c r="X49" s="438"/>
      <c r="Y49" s="497"/>
      <c r="Z49" s="2378"/>
      <c r="AA49" s="2220" t="s">
        <v>66</v>
      </c>
      <c r="AB49" s="2378"/>
      <c r="AC49" s="2220" t="s">
        <v>66</v>
      </c>
      <c r="AD49" s="438"/>
      <c r="AE49" s="864"/>
      <c r="AF49" s="438"/>
      <c r="AG49" s="497"/>
      <c r="AH49" s="2378"/>
      <c r="AI49" s="2220" t="s">
        <v>66</v>
      </c>
      <c r="AJ49" s="2400"/>
      <c r="AK49" s="2220" t="s">
        <v>66</v>
      </c>
      <c r="AL49" s="1461"/>
      <c r="AM49" s="2366" t="s">
        <v>538</v>
      </c>
      <c r="AN49" s="624">
        <f>STRCHECKDATE(V50:AL50)</f>
      </c>
      <c r="AO49" s="613"/>
      <c r="AP49" s="613" t="str">
        <f>IF(T49="","",T49)</f>
        <v/>
      </c>
      <c r="AQ49" s="613"/>
      <c r="AR49" s="613"/>
      <c r="AS49" s="1268">
        <v>21</v>
      </c>
    </row>
    <row customHeight="1" ht="1.05">
      <c r="A50" s="1476" t="s">
        <v>261</v>
      </c>
      <c r="B50" s="1476" t="s">
        <v>262</v>
      </c>
      <c r="C50" s="1476" t="s">
        <v>263</v>
      </c>
      <c r="D50" s="1476" t="s">
        <v>264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261</v>
      </c>
      <c r="B51" s="1476" t="s">
        <v>262</v>
      </c>
      <c r="C51" s="1476" t="s">
        <v>263</v>
      </c>
      <c r="D51" s="1476" t="s">
        <v>264</v>
      </c>
      <c r="E51" s="2372"/>
      <c r="F51" s="2372"/>
      <c r="G51" s="2372"/>
      <c r="H51" s="2372"/>
      <c r="I51" s="2399"/>
      <c r="J51" s="2369"/>
      <c r="K51" s="1476"/>
      <c r="L51" s="1477"/>
      <c r="P51" s="2370"/>
      <c r="Q51" s="2370"/>
      <c r="R51" s="469"/>
      <c r="S51" s="1391"/>
      <c r="T51" s="401" t="s">
        <v>539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261</v>
      </c>
      <c r="B52" s="1476" t="s">
        <v>262</v>
      </c>
      <c r="C52" s="1476" t="s">
        <v>263</v>
      </c>
      <c r="D52" s="1476" t="s">
        <v>264</v>
      </c>
      <c r="E52" s="2372"/>
      <c r="F52" s="2372"/>
      <c r="G52" s="2372"/>
      <c r="H52" s="2372"/>
      <c r="I52" s="2369"/>
      <c r="J52" s="1476"/>
      <c r="K52" s="1476"/>
      <c r="L52" s="1477"/>
      <c r="P52" s="2370"/>
      <c r="Q52" s="1444"/>
      <c r="R52" s="469"/>
      <c r="S52" s="1391"/>
      <c r="T52" s="400" t="s">
        <v>540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261</v>
      </c>
      <c r="B53" s="1476" t="s">
        <v>262</v>
      </c>
      <c r="C53" s="1476" t="s">
        <v>263</v>
      </c>
      <c r="D53" s="1476" t="s">
        <v>264</v>
      </c>
      <c r="E53" s="2372"/>
      <c r="F53" s="2372"/>
      <c r="G53" s="2372"/>
      <c r="H53" s="2371"/>
      <c r="I53" s="1476"/>
      <c r="J53" s="1476"/>
      <c r="K53" s="1476"/>
      <c r="L53" s="1477"/>
      <c r="M53" s="1478"/>
      <c r="N53" s="1478"/>
      <c r="O53" s="650"/>
      <c r="P53" s="473"/>
      <c r="Q53" s="488"/>
      <c r="R53" s="468"/>
      <c r="S53" s="1391"/>
      <c r="T53" s="478" t="s">
        <v>541</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8355" customFormat="1" customHeight="1" ht="1.05">
      <c r="A54" s="1456" t="s">
        <v>261</v>
      </c>
      <c r="B54" s="1456" t="s">
        <v>262</v>
      </c>
      <c r="C54" s="1456" t="s">
        <v>263</v>
      </c>
      <c r="D54" s="1427"/>
      <c r="E54" s="2372"/>
      <c r="F54" s="2372"/>
      <c r="G54" s="2371"/>
      <c r="H54" s="1427"/>
      <c r="I54" s="1427"/>
      <c r="J54" s="1427"/>
      <c r="K54" s="1427"/>
      <c r="L54" s="1452"/>
      <c r="M54" s="1428"/>
      <c r="N54" s="1428"/>
      <c r="P54" s="1429"/>
      <c r="Q54" s="1430"/>
      <c r="R54" s="1429"/>
      <c r="S54" s="1435"/>
      <c r="T54" s="1438" t="s">
        <v>542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8355" customFormat="1" customHeight="1" ht="1.05">
      <c r="A55" s="1456" t="s">
        <v>261</v>
      </c>
      <c r="B55" s="1456" t="s">
        <v>262</v>
      </c>
      <c r="C55" s="1427"/>
      <c r="D55" s="1427"/>
      <c r="E55" s="2372"/>
      <c r="F55" s="2371"/>
      <c r="G55" s="1427"/>
      <c r="H55" s="1427"/>
      <c r="I55" s="1427"/>
      <c r="J55" s="1427"/>
      <c r="K55" s="1427"/>
      <c r="L55" s="1452"/>
      <c r="M55" s="1434"/>
      <c r="N55" s="1434"/>
      <c r="P55" s="1429"/>
      <c r="Q55" s="1430"/>
      <c r="R55" s="1429"/>
      <c r="S55" s="1435"/>
      <c r="T55" s="1438" t="s">
        <v>298</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8355" customFormat="1" customHeight="1" ht="1.05">
      <c r="A56" s="1456" t="s">
        <v>261</v>
      </c>
      <c r="B56" s="1456"/>
      <c r="C56" s="1456"/>
      <c r="D56" s="1456"/>
      <c r="E56" s="2371"/>
      <c r="F56" s="1456"/>
      <c r="G56" s="1456"/>
      <c r="H56" s="1456"/>
      <c r="I56" s="1456"/>
      <c r="J56" s="1456"/>
      <c r="K56" s="1456"/>
      <c r="L56" s="1459"/>
      <c r="M56" s="1434"/>
      <c r="N56" s="1434"/>
      <c r="O56" s="631"/>
      <c r="P56" s="493"/>
      <c r="Q56" s="1457"/>
      <c r="R56" s="493"/>
      <c r="S56" s="1435"/>
      <c r="T56" s="1438" t="s">
        <v>355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835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356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F10934-788B-6244-85AD-FD260B58494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354" width="10.57421875" hidden="1"/>
    <col min="2" max="2" style="8354" width="11.00390625" hidden="1" customWidth="1"/>
    <col min="3" max="3" style="8354" width="10.57421875" hidden="1"/>
    <col min="4" max="4" style="8354" width="11.8515625" hidden="1" customWidth="1"/>
    <col min="5" max="5" style="8354" width="10.00390625" hidden="1" customWidth="1"/>
    <col min="6" max="6" style="8354" width="8.7109375" hidden="1" customWidth="1"/>
    <col min="7" max="7" style="8354" width="7.57421875" hidden="1" customWidth="1"/>
    <col min="8" max="8" style="8354" width="11.421875" hidden="1" customWidth="1"/>
    <col min="9" max="9" style="8354" width="12.00390625" hidden="1" customWidth="1"/>
    <col min="10" max="10" style="8354" width="9.8515625" hidden="1" customWidth="1"/>
    <col min="11" max="11" style="8354" width="11.421875" hidden="1" customWidth="1"/>
    <col min="12" max="12" style="9204" width="19.140625" hidden="1" customWidth="1"/>
    <col min="13" max="14" style="9205" width="12.28125" hidden="1" customWidth="1"/>
    <col min="15" max="15" style="9205" width="23.421875" hidden="1" customWidth="1"/>
    <col min="16" max="16" style="9206" width="3.7109375" hidden="1" customWidth="1"/>
    <col min="17" max="18" style="9207" width="3.00390625" customWidth="1"/>
    <col min="19" max="19" style="9208" width="12.00390625" customWidth="1"/>
    <col min="20" max="20" style="8273" width="31.00390625" customWidth="1"/>
    <col min="21" max="21" style="8273" width="0.140625" customWidth="1"/>
    <col min="22" max="22" style="8273" width="24.7109375" hidden="1" customWidth="1"/>
    <col min="23" max="23" style="8273" width="0.140625" hidden="1" customWidth="1"/>
    <col min="24" max="25" style="8273" width="24.7109375" hidden="1" customWidth="1"/>
    <col min="26" max="26" style="8273" width="11.7109375" hidden="1" customWidth="1"/>
    <col min="27" max="27" style="8273" width="3.7109375" hidden="1" customWidth="1"/>
    <col min="28" max="28" style="8273" width="11.7109375" hidden="1" customWidth="1"/>
    <col min="29" max="29" style="8273" width="8.57421875" hidden="1" customWidth="1"/>
    <col min="30" max="30" style="8273" width="24.7109375" customWidth="1"/>
    <col min="31" max="31" style="8273" width="0.140625" customWidth="1"/>
    <col min="32" max="33" style="8273" width="24.00390625" customWidth="1"/>
    <col min="34" max="34" style="8273" width="11.00390625" customWidth="1"/>
    <col min="35" max="35" style="8273" width="3.7109375" customWidth="1"/>
    <col min="36" max="36" style="8273" width="11.00390625" customWidth="1"/>
    <col min="37" max="37" style="8273" width="8.57421875" hidden="1" customWidth="1"/>
    <col min="38" max="38" style="8273" width="4.00390625" customWidth="1"/>
    <col min="39" max="39" style="8273" width="115.00390625" customWidth="1"/>
    <col min="40" max="44" style="8355" width="10.00390625" customWidth="1"/>
    <col min="45" max="45" style="8273"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198</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524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525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526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527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528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529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530</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531</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534</v>
      </c>
      <c r="M7" s="650"/>
      <c r="N7" s="1479"/>
      <c r="P7" s="2370"/>
      <c r="Q7" s="2370">
        <v>1</v>
      </c>
      <c r="R7" s="470"/>
      <c r="S7" s="1449">
        <f>$J7</f>
      </c>
      <c r="T7" s="399" t="s">
        <v>535</v>
      </c>
      <c r="U7" s="413"/>
      <c r="V7" s="2358"/>
      <c r="W7" s="2359"/>
      <c r="X7" s="2359"/>
      <c r="Y7" s="2359"/>
      <c r="Z7" s="2359"/>
      <c r="AA7" s="2359"/>
      <c r="AB7" s="2359"/>
      <c r="AC7" s="2360"/>
      <c r="AD7" s="2358"/>
      <c r="AE7" s="2359"/>
      <c r="AF7" s="2359"/>
      <c r="AG7" s="2359"/>
      <c r="AH7" s="2359"/>
      <c r="AI7" s="2359"/>
      <c r="AJ7" s="2359"/>
      <c r="AK7" s="2359"/>
      <c r="AL7" s="2360"/>
      <c r="AM7" s="1371" t="s">
        <v>536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537</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538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539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540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835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542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835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298</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835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355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8354" customFormat="1" customHeight="1" ht="22.5" hidden="1">
      <c r="L20" s="1442"/>
      <c r="M20" s="1475"/>
      <c r="N20" s="1475"/>
      <c r="O20" s="1480" t="s">
        <v>543</v>
      </c>
      <c r="P20" s="1475"/>
      <c r="Q20" s="1484"/>
      <c r="R20" s="1484"/>
      <c r="S20" s="842"/>
      <c r="Z20" s="1480"/>
      <c r="AB20" s="1480"/>
      <c r="AC20" s="1479"/>
      <c r="AH20" s="1480"/>
      <c r="AJ20" s="1480"/>
      <c r="AK20" s="1479"/>
      <c r="AN20" s="624"/>
      <c r="AO20" s="624"/>
      <c r="AP20" s="624"/>
      <c r="AQ20" s="624"/>
      <c r="AR20" s="624"/>
      <c r="AS20" s="1273">
        <v>0</v>
      </c>
    </row>
    <row s="8354" customFormat="1" customHeight="1" ht="14.25" hidden="1">
      <c r="L21" s="1442"/>
      <c r="M21" s="1475"/>
      <c r="N21" s="1475"/>
      <c r="O21" s="1475"/>
      <c r="P21" s="1475"/>
      <c r="Q21" s="1484"/>
      <c r="R21" s="1484"/>
      <c r="S21" s="842"/>
      <c r="AC21" s="1479"/>
      <c r="AK21" s="1479"/>
      <c r="AN21" s="624"/>
      <c r="AO21" s="624"/>
      <c r="AP21" s="624"/>
      <c r="AQ21" s="624"/>
      <c r="AR21" s="624"/>
      <c r="AS21" s="1273">
        <v>0</v>
      </c>
    </row>
    <row s="8354" customFormat="1" customHeight="1" ht="14.25" hidden="1">
      <c r="L22" s="1442"/>
      <c r="M22" s="1475"/>
      <c r="N22" s="1475"/>
      <c r="O22" s="1477" t="s">
        <v>544</v>
      </c>
      <c r="P22" s="1475"/>
      <c r="Q22" s="1484"/>
      <c r="R22" s="1484"/>
      <c r="S22" s="842"/>
      <c r="T22" s="1273" t="s">
        <v>545</v>
      </c>
      <c r="AA22" s="299" t="s">
        <v>546</v>
      </c>
      <c r="AC22" s="299" t="s">
        <v>547</v>
      </c>
      <c r="AD22" s="1273" t="s">
        <v>545</v>
      </c>
      <c r="AI22" s="299" t="s">
        <v>548</v>
      </c>
      <c r="AK22" s="299" t="s">
        <v>547</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МУП ЖКХ "Родник"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8491"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8491" customFormat="1" customHeight="1" ht="18.75" hidden="1">
      <c r="A30" s="1481"/>
      <c r="B30" s="1481"/>
      <c r="C30" s="1481"/>
      <c r="D30" s="1481"/>
      <c r="E30" s="1481"/>
      <c r="F30" s="1481"/>
      <c r="G30" s="1481"/>
      <c r="H30" s="1481"/>
      <c r="I30" s="1481"/>
      <c r="J30" s="1481"/>
      <c r="K30" s="1481"/>
      <c r="L30" s="1482"/>
      <c r="M30" s="1481"/>
      <c r="N30" s="1481"/>
      <c r="O30" s="1481"/>
      <c r="S30" s="2363" t="s">
        <v>549</v>
      </c>
      <c r="T30" s="2363"/>
      <c r="U30" s="1485"/>
      <c r="V30" s="2377" t="str">
        <f>IF(TITLE_DATE_PR_CHANGE="",IF(TITLE_DATE_PR="","",TITLE_DATE_PR),TITLE_DATE_PR_CHANGE)</f>
        <v>45586</v>
      </c>
      <c r="W30" s="2377"/>
      <c r="X30" s="2377"/>
      <c r="Y30" s="2377"/>
      <c r="Z30" s="2377"/>
      <c r="AA30" s="2377"/>
      <c r="AB30" s="2377"/>
      <c r="AC30" s="439"/>
      <c r="AD30" s="2377" t="str">
        <f>IF(TITLE_DATE_PR_CHANGE="",IF(TITLE_DATE_PR="","",TITLE_DATE_PR),TITLE_DATE_PR_CHANGE)</f>
        <v>45586</v>
      </c>
      <c r="AE30" s="2377"/>
      <c r="AF30" s="2377"/>
      <c r="AG30" s="2377"/>
      <c r="AH30" s="2377"/>
      <c r="AI30" s="2377"/>
      <c r="AJ30" s="2377"/>
      <c r="AK30" s="439"/>
      <c r="AL30" s="439"/>
      <c r="AM30" s="393"/>
      <c r="AN30" s="481"/>
      <c r="AO30" s="481"/>
      <c r="AP30" s="481"/>
      <c r="AQ30" s="481"/>
      <c r="AR30" s="481"/>
      <c r="AS30" s="531">
        <v>0</v>
      </c>
    </row>
    <row s="8491" customFormat="1" customHeight="1" ht="18.75" hidden="1">
      <c r="A31" s="1481"/>
      <c r="B31" s="1481"/>
      <c r="C31" s="1481"/>
      <c r="D31" s="1481"/>
      <c r="E31" s="1481"/>
      <c r="F31" s="1481"/>
      <c r="G31" s="1481"/>
      <c r="H31" s="1481"/>
      <c r="I31" s="1481"/>
      <c r="J31" s="1481"/>
      <c r="K31" s="1481"/>
      <c r="L31" s="1482"/>
      <c r="M31" s="1481"/>
      <c r="N31" s="1481"/>
      <c r="O31" s="1481"/>
      <c r="S31" s="2363" t="s">
        <v>550</v>
      </c>
      <c r="T31" s="2363"/>
      <c r="U31" s="1485"/>
      <c r="V31" s="2364" t="str">
        <f>IF(TITLE_NUMBER_PR_CHANGE="",IF(TITLE_NUMBER_PR="","",TITLE_NUMBER_PR),TITLE_NUMBER_PR_CHANGE)</f>
        <v>1577</v>
      </c>
      <c r="W31" s="2364"/>
      <c r="X31" s="2364"/>
      <c r="Y31" s="2364"/>
      <c r="Z31" s="2364"/>
      <c r="AA31" s="2364"/>
      <c r="AB31" s="2364"/>
      <c r="AC31" s="439"/>
      <c r="AD31" s="2364" t="str">
        <f>IF(TITLE_NUMBER_PR_CHANGE="",IF(TITLE_NUMBER_PR="","",TITLE_NUMBER_PR),TITLE_NUMBER_PR_CHANGE)</f>
        <v>1577</v>
      </c>
      <c r="AE31" s="2364"/>
      <c r="AF31" s="2364"/>
      <c r="AG31" s="2364"/>
      <c r="AH31" s="2364"/>
      <c r="AI31" s="2364"/>
      <c r="AJ31" s="2364"/>
      <c r="AK31" s="439"/>
      <c r="AL31" s="439"/>
      <c r="AM31" s="393"/>
      <c r="AN31" s="481"/>
      <c r="AO31" s="481"/>
      <c r="AP31" s="481"/>
      <c r="AQ31" s="481"/>
      <c r="AR31" s="481"/>
      <c r="AS31" s="531">
        <v>0</v>
      </c>
    </row>
    <row s="8491"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8491" customFormat="1" customHeight="1" ht="18.75">
      <c r="A34" s="1481"/>
      <c r="B34" s="1481"/>
      <c r="C34" s="1481"/>
      <c r="D34" s="1481"/>
      <c r="E34" s="1481"/>
      <c r="F34" s="1481"/>
      <c r="G34" s="1481"/>
      <c r="H34" s="1481"/>
      <c r="I34" s="1481"/>
      <c r="J34" s="1481"/>
      <c r="K34" s="1481"/>
      <c r="L34" s="1482"/>
      <c r="M34" s="1481"/>
      <c r="N34" s="1481"/>
      <c r="O34" s="1481"/>
      <c r="S34" s="2363" t="s">
        <v>551</v>
      </c>
      <c r="T34" s="2363"/>
      <c r="U34" s="1485"/>
      <c r="V34" s="2377" t="str">
        <f>IF(TITLE_DATE_PR_CHANGE="",IF(TITLE_DATE_PR="","",TITLE_DATE_PR),TITLE_DATE_PR_CHANGE)</f>
        <v>45586</v>
      </c>
      <c r="W34" s="2377"/>
      <c r="X34" s="2377"/>
      <c r="Y34" s="2377"/>
      <c r="Z34" s="2377"/>
      <c r="AA34" s="2377"/>
      <c r="AB34" s="2377"/>
      <c r="AC34" s="439"/>
      <c r="AD34" s="2377" t="str">
        <f>IF(TITLE_DATE_PR_CHANGE="",IF(TITLE_DATE_PR="","",TITLE_DATE_PR),TITLE_DATE_PR_CHANGE)</f>
        <v>45586</v>
      </c>
      <c r="AE34" s="2377"/>
      <c r="AF34" s="2377"/>
      <c r="AG34" s="2377"/>
      <c r="AH34" s="2377"/>
      <c r="AI34" s="2377"/>
      <c r="AJ34" s="2377"/>
      <c r="AK34" s="439"/>
      <c r="AL34" s="439"/>
      <c r="AM34" s="393"/>
      <c r="AN34" s="481"/>
      <c r="AO34" s="481"/>
      <c r="AP34" s="481"/>
      <c r="AQ34" s="481"/>
      <c r="AR34" s="481"/>
      <c r="AS34" s="531">
        <v>0</v>
      </c>
    </row>
    <row s="8491" customFormat="1" customHeight="1" ht="18.75">
      <c r="A35" s="1481"/>
      <c r="B35" s="1481"/>
      <c r="C35" s="1481"/>
      <c r="D35" s="1481"/>
      <c r="E35" s="1481"/>
      <c r="F35" s="1481"/>
      <c r="G35" s="1481"/>
      <c r="H35" s="1481"/>
      <c r="I35" s="1481"/>
      <c r="J35" s="1481"/>
      <c r="K35" s="1481"/>
      <c r="L35" s="1482"/>
      <c r="M35" s="1481"/>
      <c r="N35" s="1481"/>
      <c r="O35" s="1481"/>
      <c r="S35" s="2363" t="s">
        <v>552</v>
      </c>
      <c r="T35" s="2363"/>
      <c r="U35" s="1485"/>
      <c r="V35" s="2364" t="str">
        <f>IF(TITLE_NUMBER_PR_CHANGE="",IF(TITLE_NUMBER_PR="","",TITLE_NUMBER_PR),TITLE_NUMBER_PR_CHANGE)</f>
        <v>1577</v>
      </c>
      <c r="W35" s="2364"/>
      <c r="X35" s="2364"/>
      <c r="Y35" s="2364"/>
      <c r="Z35" s="2364"/>
      <c r="AA35" s="2364"/>
      <c r="AB35" s="2364"/>
      <c r="AC35" s="439"/>
      <c r="AD35" s="2364" t="str">
        <f>IF(TITLE_NUMBER_PR_CHANGE="",IF(TITLE_NUMBER_PR="","",TITLE_NUMBER_PR),TITLE_NUMBER_PR_CHANGE)</f>
        <v>1577</v>
      </c>
      <c r="AE35" s="2364"/>
      <c r="AF35" s="2364"/>
      <c r="AG35" s="2364"/>
      <c r="AH35" s="2364"/>
      <c r="AI35" s="2364"/>
      <c r="AJ35" s="2364"/>
      <c r="AK35" s="439"/>
      <c r="AL35" s="439"/>
      <c r="AM35" s="393"/>
      <c r="AN35" s="481"/>
      <c r="AO35" s="481"/>
      <c r="AP35" s="481"/>
      <c r="AQ35" s="481"/>
      <c r="AR35" s="481"/>
      <c r="AS35" s="531">
        <v>0</v>
      </c>
    </row>
    <row s="849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553</v>
      </c>
      <c r="AD36" s="439"/>
      <c r="AE36" s="439"/>
      <c r="AF36" s="439"/>
      <c r="AG36" s="439"/>
      <c r="AH36" s="439"/>
      <c r="AI36" s="439"/>
      <c r="AJ36" s="439"/>
      <c r="AK36" s="391" t="s">
        <v>553</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428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429</v>
      </c>
      <c r="AS38" s="1268">
        <v>14</v>
      </c>
    </row>
    <row customHeight="1" ht="14.699999999999998">
      <c r="Q39" s="489"/>
      <c r="R39" s="489"/>
      <c r="S39" s="2386" t="s">
        <v>88</v>
      </c>
      <c r="T39" s="2322" t="s">
        <v>554</v>
      </c>
      <c r="U39" s="414"/>
      <c r="V39" s="2387" t="s">
        <v>555</v>
      </c>
      <c r="W39" s="2388"/>
      <c r="X39" s="2388"/>
      <c r="Y39" s="2388"/>
      <c r="Z39" s="2388"/>
      <c r="AA39" s="2388"/>
      <c r="AB39" s="2389"/>
      <c r="AC39" s="2390" t="s">
        <v>556</v>
      </c>
      <c r="AD39" s="2387" t="s">
        <v>555</v>
      </c>
      <c r="AE39" s="2388"/>
      <c r="AF39" s="2388"/>
      <c r="AG39" s="2388"/>
      <c r="AH39" s="2388"/>
      <c r="AI39" s="2388"/>
      <c r="AJ39" s="2389"/>
      <c r="AK39" s="2390" t="s">
        <v>557</v>
      </c>
      <c r="AL39" s="2393" t="s">
        <v>558</v>
      </c>
      <c r="AM39" s="2240"/>
      <c r="AS39" s="1268">
        <v>14</v>
      </c>
    </row>
    <row customHeight="1" ht="35.699999999999996">
      <c r="Q40" s="489"/>
      <c r="R40" s="489"/>
      <c r="S40" s="2386"/>
      <c r="T40" s="2322"/>
      <c r="U40" s="1144"/>
      <c r="V40" s="2373" t="s">
        <v>559</v>
      </c>
      <c r="W40" s="2396"/>
      <c r="X40" s="2375" t="s">
        <v>561</v>
      </c>
      <c r="Y40" s="2376"/>
      <c r="Z40" s="2375" t="s">
        <v>562</v>
      </c>
      <c r="AA40" s="2382"/>
      <c r="AB40" s="2376"/>
      <c r="AC40" s="2391"/>
      <c r="AD40" s="2373" t="s">
        <v>575</v>
      </c>
      <c r="AE40" s="2396"/>
      <c r="AF40" s="2375" t="s">
        <v>561</v>
      </c>
      <c r="AG40" s="2376"/>
      <c r="AH40" s="2375" t="s">
        <v>562</v>
      </c>
      <c r="AI40" s="2382"/>
      <c r="AJ40" s="2376"/>
      <c r="AK40" s="2391"/>
      <c r="AL40" s="2394"/>
      <c r="AM40" s="2240"/>
      <c r="AS40" s="1268">
        <v>34</v>
      </c>
    </row>
    <row customHeight="1" ht="35.699999999999996">
      <c r="A41" s="1483"/>
      <c r="B41" s="1483" t="s">
        <v>210</v>
      </c>
      <c r="C41" s="1483" t="s">
        <v>211</v>
      </c>
      <c r="D41" s="1483" t="s">
        <v>212</v>
      </c>
      <c r="E41" s="1477" t="s">
        <v>563</v>
      </c>
      <c r="F41" s="1477" t="s">
        <v>564</v>
      </c>
      <c r="G41" s="1477" t="s">
        <v>565</v>
      </c>
      <c r="H41" s="1477" t="s">
        <v>566</v>
      </c>
      <c r="I41" s="1477" t="s">
        <v>567</v>
      </c>
      <c r="J41" s="1477" t="s">
        <v>568</v>
      </c>
      <c r="K41" s="1477" t="s">
        <v>569</v>
      </c>
      <c r="L41" s="1477" t="s">
        <v>544</v>
      </c>
      <c r="Q41" s="489"/>
      <c r="R41" s="489"/>
      <c r="S41" s="2386"/>
      <c r="T41" s="2322"/>
      <c r="U41" s="415"/>
      <c r="V41" s="2374"/>
      <c r="W41" s="2397"/>
      <c r="X41" s="1335" t="s">
        <v>570</v>
      </c>
      <c r="Y41" s="1335" t="s">
        <v>571</v>
      </c>
      <c r="Z41" s="1451" t="s">
        <v>572</v>
      </c>
      <c r="AA41" s="2383" t="s">
        <v>573</v>
      </c>
      <c r="AB41" s="2384"/>
      <c r="AC41" s="2392"/>
      <c r="AD41" s="2374"/>
      <c r="AE41" s="2397"/>
      <c r="AF41" s="1335" t="s">
        <v>570</v>
      </c>
      <c r="AG41" s="1335" t="s">
        <v>571</v>
      </c>
      <c r="AH41" s="1451" t="s">
        <v>572</v>
      </c>
      <c r="AI41" s="2383" t="s">
        <v>573</v>
      </c>
      <c r="AJ41" s="2384"/>
      <c r="AK41" s="2392"/>
      <c r="AL41" s="2395"/>
      <c r="AM41" s="2240"/>
      <c r="AS41" s="1268">
        <v>34</v>
      </c>
    </row>
    <row s="896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187</v>
      </c>
      <c r="T42" s="1368" t="s">
        <v>104</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237</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198</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237</v>
      </c>
      <c r="B44" s="1476" t="s">
        <v>238</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525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526</v>
      </c>
      <c r="AO44" s="613"/>
      <c r="AP44" s="613" t="str">
        <f>IF(T44="","",T44)</f>
        <v>Территория действия тарифа</v>
      </c>
      <c r="AQ44" s="613"/>
      <c r="AR44" s="613"/>
      <c r="AS44" s="1268">
        <v>21</v>
      </c>
    </row>
    <row customHeight="1" ht="24">
      <c r="A45" s="1476" t="s">
        <v>237</v>
      </c>
      <c r="B45" s="1476" t="s">
        <v>238</v>
      </c>
      <c r="C45" s="1476" t="s">
        <v>239</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527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528</v>
      </c>
      <c r="AO45" s="613"/>
      <c r="AP45" s="613" t="str">
        <f>IF(T45="","",T45)</f>
        <v>Наименование системы теплоснабжения </v>
      </c>
      <c r="AQ45" s="613"/>
      <c r="AR45" s="613"/>
      <c r="AS45" s="1268">
        <v>23</v>
      </c>
    </row>
    <row customHeight="1" ht="22.049999999999997">
      <c r="A46" s="1476" t="s">
        <v>237</v>
      </c>
      <c r="B46" s="1476" t="s">
        <v>238</v>
      </c>
      <c r="C46" s="1476" t="s">
        <v>239</v>
      </c>
      <c r="D46" s="1476" t="s">
        <v>240</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529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530</v>
      </c>
      <c r="AO46" s="613"/>
      <c r="AP46" s="613" t="str">
        <f>IF(T46="","",T46)</f>
        <v>Источник тепловой энергии  </v>
      </c>
      <c r="AQ46" s="613"/>
      <c r="AR46" s="613"/>
      <c r="AS46" s="1268">
        <v>21</v>
      </c>
    </row>
    <row s="8355" customFormat="1" customHeight="1" ht="0">
      <c r="A47" s="1456" t="s">
        <v>237</v>
      </c>
      <c r="B47" s="1456" t="s">
        <v>238</v>
      </c>
      <c r="C47" s="1456" t="s">
        <v>239</v>
      </c>
      <c r="D47" s="1456" t="s">
        <v>240</v>
      </c>
      <c r="E47" s="2372"/>
      <c r="F47" s="2372"/>
      <c r="G47" s="2372"/>
      <c r="H47" s="2372"/>
      <c r="I47" s="2369" t="str">
        <f>S46&amp;".1"</f>
        <v>....1</v>
      </c>
      <c r="J47" s="1456"/>
      <c r="K47" s="1456"/>
      <c r="L47" s="1459" t="s">
        <v>531</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237</v>
      </c>
      <c r="B48" s="1476" t="s">
        <v>238</v>
      </c>
      <c r="C48" s="1476" t="s">
        <v>239</v>
      </c>
      <c r="D48" s="1476" t="s">
        <v>240</v>
      </c>
      <c r="E48" s="2372"/>
      <c r="F48" s="2372"/>
      <c r="G48" s="2372"/>
      <c r="H48" s="2372"/>
      <c r="I48" s="2399"/>
      <c r="J48" s="2369" t="str">
        <f>S46&amp;".1"</f>
        <v>....1</v>
      </c>
      <c r="K48" s="1476"/>
      <c r="L48" s="1477" t="s">
        <v>534</v>
      </c>
      <c r="P48" s="2370"/>
      <c r="Q48" s="2370">
        <v>1</v>
      </c>
      <c r="R48" s="470"/>
      <c r="S48" s="1449" t="str">
        <f>$J48</f>
        <v>....1</v>
      </c>
      <c r="T48" s="399" t="s">
        <v>535</v>
      </c>
      <c r="U48" s="413"/>
      <c r="V48" s="2358"/>
      <c r="W48" s="2359"/>
      <c r="X48" s="2359"/>
      <c r="Y48" s="2359"/>
      <c r="Z48" s="2359"/>
      <c r="AA48" s="2359"/>
      <c r="AB48" s="2359"/>
      <c r="AC48" s="2360"/>
      <c r="AD48" s="2358"/>
      <c r="AE48" s="2359"/>
      <c r="AF48" s="2359"/>
      <c r="AG48" s="2359"/>
      <c r="AH48" s="2359"/>
      <c r="AI48" s="2359"/>
      <c r="AJ48" s="2359"/>
      <c r="AK48" s="2359"/>
      <c r="AL48" s="2360"/>
      <c r="AM48" s="1371" t="s">
        <v>536</v>
      </c>
      <c r="AO48" s="613"/>
      <c r="AP48" s="613" t="str">
        <f>IF(T48="","",T48)</f>
        <v>Группа потребителей</v>
      </c>
      <c r="AQ48" s="613"/>
      <c r="AR48" s="613"/>
      <c r="AS48" s="1268">
        <v>21</v>
      </c>
    </row>
    <row customHeight="1" ht="22.049999999999997">
      <c r="A49" s="1476" t="s">
        <v>237</v>
      </c>
      <c r="B49" s="1476" t="s">
        <v>238</v>
      </c>
      <c r="C49" s="1476" t="s">
        <v>239</v>
      </c>
      <c r="D49" s="1476" t="s">
        <v>240</v>
      </c>
      <c r="E49" s="2372"/>
      <c r="F49" s="2372"/>
      <c r="G49" s="2372"/>
      <c r="H49" s="2372"/>
      <c r="I49" s="2399"/>
      <c r="J49" s="2399"/>
      <c r="K49" s="2369" t="str">
        <f>J48&amp;".1"</f>
        <v>....1.1</v>
      </c>
      <c r="L49" s="1477" t="s">
        <v>537</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576</v>
      </c>
      <c r="AN49" s="624">
        <f>STRCHECKDATE(V50:AL50)</f>
      </c>
      <c r="AO49" s="613"/>
      <c r="AP49" s="613" t="str">
        <f>IF(T49="","",T49)</f>
        <v/>
      </c>
      <c r="AQ49" s="613"/>
      <c r="AR49" s="613"/>
      <c r="AS49" s="1268">
        <v>21</v>
      </c>
    </row>
    <row customHeight="1" ht="1.05">
      <c r="A50" s="1476" t="s">
        <v>237</v>
      </c>
      <c r="B50" s="1476" t="s">
        <v>238</v>
      </c>
      <c r="C50" s="1476" t="s">
        <v>239</v>
      </c>
      <c r="D50" s="1476" t="s">
        <v>240</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237</v>
      </c>
      <c r="B51" s="1476" t="s">
        <v>238</v>
      </c>
      <c r="C51" s="1476" t="s">
        <v>239</v>
      </c>
      <c r="D51" s="1476" t="s">
        <v>240</v>
      </c>
      <c r="E51" s="2372"/>
      <c r="F51" s="2372"/>
      <c r="G51" s="2372"/>
      <c r="H51" s="2372"/>
      <c r="I51" s="2399"/>
      <c r="J51" s="2369"/>
      <c r="K51" s="1476"/>
      <c r="L51" s="1477"/>
      <c r="P51" s="2370"/>
      <c r="Q51" s="2370"/>
      <c r="R51" s="469"/>
      <c r="S51" s="1391"/>
      <c r="T51" s="400" t="s">
        <v>539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237</v>
      </c>
      <c r="B52" s="1476" t="s">
        <v>238</v>
      </c>
      <c r="C52" s="1476" t="s">
        <v>239</v>
      </c>
      <c r="D52" s="1476" t="s">
        <v>240</v>
      </c>
      <c r="E52" s="2372"/>
      <c r="F52" s="2372"/>
      <c r="G52" s="2372"/>
      <c r="H52" s="2372"/>
      <c r="I52" s="2369"/>
      <c r="J52" s="1476"/>
      <c r="K52" s="1476"/>
      <c r="L52" s="1477"/>
      <c r="P52" s="2370"/>
      <c r="Q52" s="1444"/>
      <c r="R52" s="469"/>
      <c r="S52" s="1391"/>
      <c r="T52" s="478" t="s">
        <v>540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237</v>
      </c>
      <c r="B53" s="1476" t="s">
        <v>238</v>
      </c>
      <c r="C53" s="1476" t="s">
        <v>239</v>
      </c>
      <c r="D53" s="1476" t="s">
        <v>240</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8355" customFormat="1" customHeight="1" ht="1.05">
      <c r="A54" s="1456" t="s">
        <v>237</v>
      </c>
      <c r="B54" s="1456" t="s">
        <v>238</v>
      </c>
      <c r="C54" s="1456" t="s">
        <v>239</v>
      </c>
      <c r="D54" s="1427"/>
      <c r="E54" s="2372"/>
      <c r="F54" s="2372"/>
      <c r="G54" s="2371"/>
      <c r="H54" s="1427"/>
      <c r="I54" s="1427"/>
      <c r="J54" s="1427"/>
      <c r="K54" s="1427"/>
      <c r="L54" s="1452"/>
      <c r="M54" s="1428"/>
      <c r="N54" s="1428"/>
      <c r="P54" s="1429"/>
      <c r="Q54" s="1430"/>
      <c r="R54" s="1429"/>
      <c r="S54" s="1435"/>
      <c r="T54" s="1438" t="s">
        <v>542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8355" customFormat="1" customHeight="1" ht="1.05">
      <c r="A55" s="1456" t="s">
        <v>237</v>
      </c>
      <c r="B55" s="1456" t="s">
        <v>238</v>
      </c>
      <c r="C55" s="1427"/>
      <c r="D55" s="1427"/>
      <c r="E55" s="2372"/>
      <c r="F55" s="2371"/>
      <c r="G55" s="1427"/>
      <c r="H55" s="1427"/>
      <c r="I55" s="1427"/>
      <c r="J55" s="1427"/>
      <c r="K55" s="1427"/>
      <c r="L55" s="1452"/>
      <c r="M55" s="1434"/>
      <c r="N55" s="1434"/>
      <c r="P55" s="1429"/>
      <c r="Q55" s="1430"/>
      <c r="R55" s="1429"/>
      <c r="S55" s="1435"/>
      <c r="T55" s="1438" t="s">
        <v>298</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8355" customFormat="1" customHeight="1" ht="1.05">
      <c r="A56" s="1456" t="s">
        <v>237</v>
      </c>
      <c r="B56" s="1456"/>
      <c r="C56" s="1456"/>
      <c r="D56" s="1456"/>
      <c r="E56" s="2371"/>
      <c r="F56" s="1456"/>
      <c r="G56" s="1456"/>
      <c r="H56" s="1456"/>
      <c r="I56" s="1456"/>
      <c r="J56" s="1456"/>
      <c r="K56" s="1456"/>
      <c r="L56" s="1459"/>
      <c r="M56" s="1434"/>
      <c r="N56" s="1434"/>
      <c r="O56" s="631"/>
      <c r="P56" s="493"/>
      <c r="Q56" s="1457"/>
      <c r="R56" s="493"/>
      <c r="S56" s="1435"/>
      <c r="T56" s="1438" t="s">
        <v>355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835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356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C00A3D-CE69-7268-4D4A-F3285BF9320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354" width="10.57421875" hidden="1"/>
    <col min="2" max="2" style="8354" width="11.00390625" hidden="1" customWidth="1"/>
    <col min="3" max="3" style="8354" width="10.57421875" hidden="1"/>
    <col min="4" max="4" style="8354" width="11.8515625" hidden="1" customWidth="1"/>
    <col min="5" max="5" style="8354" width="10.00390625" hidden="1" customWidth="1"/>
    <col min="6" max="6" style="8354" width="8.7109375" hidden="1" customWidth="1"/>
    <col min="7" max="7" style="8354" width="7.57421875" hidden="1" customWidth="1"/>
    <col min="8" max="8" style="8354" width="11.421875" hidden="1" customWidth="1"/>
    <col min="9" max="9" style="8354" width="12.00390625" hidden="1" customWidth="1"/>
    <col min="10" max="10" style="8354" width="9.8515625" hidden="1" customWidth="1"/>
    <col min="11" max="11" style="8354" width="11.421875" hidden="1" customWidth="1"/>
    <col min="12" max="12" style="9204" width="19.140625" hidden="1" customWidth="1"/>
    <col min="13" max="14" style="9205" width="12.28125" hidden="1" customWidth="1"/>
    <col min="15" max="15" style="9205" width="23.421875" hidden="1" customWidth="1"/>
    <col min="16" max="16" style="9206" width="3.7109375" hidden="1" customWidth="1"/>
    <col min="17" max="18" style="9207" width="3.00390625" customWidth="1"/>
    <col min="19" max="19" style="9208" width="12.00390625" customWidth="1"/>
    <col min="20" max="20" style="8273" width="31.00390625" customWidth="1"/>
    <col min="21" max="21" style="8273" width="0.140625" customWidth="1"/>
    <col min="22" max="22" style="8273" width="24.7109375" hidden="1" customWidth="1"/>
    <col min="23" max="23" style="8273" width="0.140625" hidden="1" customWidth="1"/>
    <col min="24" max="25" style="8273" width="24.7109375" hidden="1" customWidth="1"/>
    <col min="26" max="26" style="8273" width="11.7109375" hidden="1" customWidth="1"/>
    <col min="27" max="27" style="8273" width="3.7109375" hidden="1" customWidth="1"/>
    <col min="28" max="28" style="8273" width="11.7109375" hidden="1" customWidth="1"/>
    <col min="29" max="29" style="8273" width="8.57421875" hidden="1" customWidth="1"/>
    <col min="30" max="30" style="8273" width="24.7109375" customWidth="1"/>
    <col min="31" max="31" style="8273" width="0.140625" customWidth="1"/>
    <col min="32" max="33" style="8273" width="24.00390625" customWidth="1"/>
    <col min="34" max="34" style="8273" width="11.00390625" customWidth="1"/>
    <col min="35" max="35" style="8273" width="3.7109375" customWidth="1"/>
    <col min="36" max="36" style="8273" width="11.00390625" customWidth="1"/>
    <col min="37" max="37" style="8273" width="8.57421875" hidden="1" customWidth="1"/>
    <col min="38" max="38" style="8273" width="4.00390625" customWidth="1"/>
    <col min="39" max="39" style="8273" width="115.00390625" customWidth="1"/>
    <col min="40" max="44" style="8355" width="10.00390625" customWidth="1"/>
    <col min="45" max="45" style="8273"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198</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524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525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526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527</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528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529</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530</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531</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534</v>
      </c>
      <c r="M7" s="650"/>
      <c r="N7" s="1479"/>
      <c r="P7" s="2370"/>
      <c r="Q7" s="2370">
        <v>1</v>
      </c>
      <c r="R7" s="1755"/>
      <c r="S7" s="2120">
        <f>$J7</f>
      </c>
      <c r="T7" s="399" t="s">
        <v>535</v>
      </c>
      <c r="U7" s="413"/>
      <c r="V7" s="2418"/>
      <c r="W7" s="2418"/>
      <c r="X7" s="2418"/>
      <c r="Y7" s="2418"/>
      <c r="Z7" s="2418"/>
      <c r="AA7" s="2418"/>
      <c r="AB7" s="2418"/>
      <c r="AC7" s="2418"/>
      <c r="AD7" s="2418"/>
      <c r="AE7" s="2418"/>
      <c r="AF7" s="2418"/>
      <c r="AG7" s="2418"/>
      <c r="AH7" s="2418"/>
      <c r="AI7" s="2418"/>
      <c r="AJ7" s="2418"/>
      <c r="AK7" s="2418"/>
      <c r="AL7" s="2418"/>
      <c r="AM7" s="2123" t="s">
        <v>536</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537</v>
      </c>
      <c r="M8" s="650"/>
      <c r="N8" s="1479"/>
      <c r="O8" s="1479"/>
      <c r="P8" s="2370"/>
      <c r="Q8" s="2370"/>
      <c r="R8" s="470">
        <v>1</v>
      </c>
      <c r="S8" s="2122">
        <f>$K8</f>
      </c>
      <c r="T8" s="2127"/>
      <c r="U8" s="2128"/>
      <c r="V8" s="2129"/>
      <c r="W8" s="1462"/>
      <c r="X8" s="2129"/>
      <c r="Y8" s="2130"/>
      <c r="Z8" s="2419"/>
      <c r="AA8" s="2225" t="s">
        <v>66</v>
      </c>
      <c r="AB8" s="2419"/>
      <c r="AC8" s="2225" t="s">
        <v>66</v>
      </c>
      <c r="AD8" s="2129"/>
      <c r="AE8" s="1462"/>
      <c r="AF8" s="2129"/>
      <c r="AG8" s="2130"/>
      <c r="AH8" s="2419"/>
      <c r="AI8" s="2225" t="s">
        <v>66</v>
      </c>
      <c r="AJ8" s="2419"/>
      <c r="AK8" s="2225" t="s">
        <v>66</v>
      </c>
      <c r="AL8" s="1462"/>
      <c r="AM8" s="2366" t="s">
        <v>538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539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540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835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542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835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298</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835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355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8354" customFormat="1" customHeight="1" ht="22.5" hidden="1">
      <c r="L20" s="1442"/>
      <c r="M20" s="1475"/>
      <c r="N20" s="1475"/>
      <c r="O20" s="1480" t="s">
        <v>543</v>
      </c>
      <c r="P20" s="1475"/>
      <c r="Q20" s="1484"/>
      <c r="R20" s="1484"/>
      <c r="S20" s="842"/>
      <c r="Z20" s="1480"/>
      <c r="AB20" s="1480"/>
      <c r="AC20" s="1479"/>
      <c r="AH20" s="1480"/>
      <c r="AJ20" s="1480"/>
      <c r="AK20" s="1479"/>
      <c r="AN20" s="624"/>
      <c r="AO20" s="624"/>
      <c r="AP20" s="624"/>
      <c r="AQ20" s="624"/>
      <c r="AR20" s="624"/>
      <c r="AS20" s="1273">
        <v>0</v>
      </c>
    </row>
    <row s="8354" customFormat="1" customHeight="1" ht="14.25" hidden="1">
      <c r="L21" s="1442"/>
      <c r="M21" s="1475"/>
      <c r="N21" s="1475"/>
      <c r="O21" s="1475"/>
      <c r="P21" s="1475"/>
      <c r="Q21" s="1484"/>
      <c r="R21" s="1484"/>
      <c r="S21" s="842"/>
      <c r="AC21" s="1479"/>
      <c r="AK21" s="1479"/>
      <c r="AN21" s="624"/>
      <c r="AO21" s="624"/>
      <c r="AP21" s="624"/>
      <c r="AQ21" s="624"/>
      <c r="AR21" s="624"/>
      <c r="AS21" s="1273">
        <v>0</v>
      </c>
    </row>
    <row s="8354" customFormat="1" customHeight="1" ht="14.25" hidden="1">
      <c r="L22" s="1442"/>
      <c r="M22" s="1475"/>
      <c r="N22" s="1475"/>
      <c r="O22" s="1477" t="s">
        <v>544</v>
      </c>
      <c r="P22" s="1475"/>
      <c r="Q22" s="1484"/>
      <c r="R22" s="1484"/>
      <c r="S22" s="842"/>
      <c r="T22" s="1273" t="s">
        <v>545</v>
      </c>
      <c r="AA22" s="299" t="s">
        <v>546</v>
      </c>
      <c r="AC22" s="299" t="s">
        <v>547</v>
      </c>
      <c r="AD22" s="1273" t="s">
        <v>545</v>
      </c>
      <c r="AI22" s="299" t="s">
        <v>548</v>
      </c>
      <c r="AK22" s="299" t="s">
        <v>547</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МУП ЖКХ "Родник"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8491"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8491" customFormat="1" customHeight="1" ht="18.75" hidden="1">
      <c r="A30" s="1481"/>
      <c r="B30" s="1481"/>
      <c r="C30" s="1481"/>
      <c r="D30" s="1481"/>
      <c r="E30" s="1481"/>
      <c r="F30" s="1481"/>
      <c r="G30" s="1481"/>
      <c r="H30" s="1481"/>
      <c r="I30" s="1481"/>
      <c r="J30" s="1481"/>
      <c r="K30" s="1481"/>
      <c r="L30" s="1482"/>
      <c r="M30" s="1481"/>
      <c r="N30" s="1481"/>
      <c r="O30" s="1481"/>
      <c r="S30" s="2363" t="s">
        <v>549</v>
      </c>
      <c r="T30" s="2363"/>
      <c r="U30" s="1485"/>
      <c r="V30" s="2377" t="str">
        <f>IF(TITLE_DATE_PR_CHANGE="",IF(TITLE_DATE_PR="","",TITLE_DATE_PR),TITLE_DATE_PR_CHANGE)</f>
        <v>45586</v>
      </c>
      <c r="W30" s="2377"/>
      <c r="X30" s="2377"/>
      <c r="Y30" s="2377"/>
      <c r="Z30" s="2377"/>
      <c r="AA30" s="2377"/>
      <c r="AB30" s="2377"/>
      <c r="AC30" s="439"/>
      <c r="AD30" s="2377" t="str">
        <f>IF(TITLE_DATE_PR_CHANGE="",IF(TITLE_DATE_PR="","",TITLE_DATE_PR),TITLE_DATE_PR_CHANGE)</f>
        <v>45586</v>
      </c>
      <c r="AE30" s="2377"/>
      <c r="AF30" s="2377"/>
      <c r="AG30" s="2377"/>
      <c r="AH30" s="2377"/>
      <c r="AI30" s="2377"/>
      <c r="AJ30" s="2377"/>
      <c r="AK30" s="439"/>
      <c r="AL30" s="439"/>
      <c r="AM30" s="393"/>
      <c r="AN30" s="481"/>
      <c r="AO30" s="481"/>
      <c r="AP30" s="481"/>
      <c r="AQ30" s="481"/>
      <c r="AR30" s="481"/>
      <c r="AS30" s="531">
        <v>0</v>
      </c>
    </row>
    <row s="8491" customFormat="1" customHeight="1" ht="18.75" hidden="1">
      <c r="A31" s="1481"/>
      <c r="B31" s="1481"/>
      <c r="C31" s="1481"/>
      <c r="D31" s="1481"/>
      <c r="E31" s="1481"/>
      <c r="F31" s="1481"/>
      <c r="G31" s="1481"/>
      <c r="H31" s="1481"/>
      <c r="I31" s="1481"/>
      <c r="J31" s="1481"/>
      <c r="K31" s="1481"/>
      <c r="L31" s="1482"/>
      <c r="M31" s="1481"/>
      <c r="N31" s="1481"/>
      <c r="O31" s="1481"/>
      <c r="S31" s="2363" t="s">
        <v>550</v>
      </c>
      <c r="T31" s="2363"/>
      <c r="U31" s="1485"/>
      <c r="V31" s="2364" t="str">
        <f>IF(TITLE_NUMBER_PR_CHANGE="",IF(TITLE_NUMBER_PR="","",TITLE_NUMBER_PR),TITLE_NUMBER_PR_CHANGE)</f>
        <v>1577</v>
      </c>
      <c r="W31" s="2364"/>
      <c r="X31" s="2364"/>
      <c r="Y31" s="2364"/>
      <c r="Z31" s="2364"/>
      <c r="AA31" s="2364"/>
      <c r="AB31" s="2364"/>
      <c r="AC31" s="439"/>
      <c r="AD31" s="2364" t="str">
        <f>IF(TITLE_NUMBER_PR_CHANGE="",IF(TITLE_NUMBER_PR="","",TITLE_NUMBER_PR),TITLE_NUMBER_PR_CHANGE)</f>
        <v>1577</v>
      </c>
      <c r="AE31" s="2364"/>
      <c r="AF31" s="2364"/>
      <c r="AG31" s="2364"/>
      <c r="AH31" s="2364"/>
      <c r="AI31" s="2364"/>
      <c r="AJ31" s="2364"/>
      <c r="AK31" s="439"/>
      <c r="AL31" s="439"/>
      <c r="AM31" s="393"/>
      <c r="AN31" s="481"/>
      <c r="AO31" s="481"/>
      <c r="AP31" s="481"/>
      <c r="AQ31" s="481"/>
      <c r="AR31" s="481"/>
      <c r="AS31" s="531">
        <v>0</v>
      </c>
    </row>
    <row s="8491"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8491" customFormat="1" customHeight="1" ht="18.75">
      <c r="A34" s="1481"/>
      <c r="B34" s="1481"/>
      <c r="C34" s="1481"/>
      <c r="D34" s="1481"/>
      <c r="E34" s="1481"/>
      <c r="F34" s="1481"/>
      <c r="G34" s="1481"/>
      <c r="H34" s="1481"/>
      <c r="I34" s="1481"/>
      <c r="J34" s="1481"/>
      <c r="K34" s="1481"/>
      <c r="L34" s="1482"/>
      <c r="M34" s="1481"/>
      <c r="N34" s="1481"/>
      <c r="O34" s="1481"/>
      <c r="S34" s="2363" t="s">
        <v>551</v>
      </c>
      <c r="T34" s="2363"/>
      <c r="U34" s="1485"/>
      <c r="V34" s="2377" t="str">
        <f>IF(TITLE_DATE_PR_CHANGE="",IF(TITLE_DATE_PR="","",TITLE_DATE_PR),TITLE_DATE_PR_CHANGE)</f>
        <v>45586</v>
      </c>
      <c r="W34" s="2377"/>
      <c r="X34" s="2377"/>
      <c r="Y34" s="2377"/>
      <c r="Z34" s="2377"/>
      <c r="AA34" s="2377"/>
      <c r="AB34" s="2377"/>
      <c r="AC34" s="439"/>
      <c r="AD34" s="2377" t="str">
        <f>IF(TITLE_DATE_PR_CHANGE="",IF(TITLE_DATE_PR="","",TITLE_DATE_PR),TITLE_DATE_PR_CHANGE)</f>
        <v>45586</v>
      </c>
      <c r="AE34" s="2377"/>
      <c r="AF34" s="2377"/>
      <c r="AG34" s="2377"/>
      <c r="AH34" s="2377"/>
      <c r="AI34" s="2377"/>
      <c r="AJ34" s="2377"/>
      <c r="AK34" s="439"/>
      <c r="AL34" s="439"/>
      <c r="AM34" s="393"/>
      <c r="AN34" s="481"/>
      <c r="AO34" s="481"/>
      <c r="AP34" s="481"/>
      <c r="AQ34" s="481"/>
      <c r="AR34" s="481"/>
      <c r="AS34" s="531">
        <v>0</v>
      </c>
    </row>
    <row s="8491" customFormat="1" customHeight="1" ht="18.75">
      <c r="A35" s="1481"/>
      <c r="B35" s="1481"/>
      <c r="C35" s="1481"/>
      <c r="D35" s="1481"/>
      <c r="E35" s="1481"/>
      <c r="F35" s="1481"/>
      <c r="G35" s="1481"/>
      <c r="H35" s="1481"/>
      <c r="I35" s="1481"/>
      <c r="J35" s="1481"/>
      <c r="K35" s="1481"/>
      <c r="L35" s="1482"/>
      <c r="M35" s="1481"/>
      <c r="N35" s="1481"/>
      <c r="O35" s="1481"/>
      <c r="S35" s="2363" t="s">
        <v>552</v>
      </c>
      <c r="T35" s="2363"/>
      <c r="U35" s="1485"/>
      <c r="V35" s="2364" t="str">
        <f>IF(TITLE_NUMBER_PR_CHANGE="",IF(TITLE_NUMBER_PR="","",TITLE_NUMBER_PR),TITLE_NUMBER_PR_CHANGE)</f>
        <v>1577</v>
      </c>
      <c r="W35" s="2364"/>
      <c r="X35" s="2364"/>
      <c r="Y35" s="2364"/>
      <c r="Z35" s="2364"/>
      <c r="AA35" s="2364"/>
      <c r="AB35" s="2364"/>
      <c r="AC35" s="439"/>
      <c r="AD35" s="2364" t="str">
        <f>IF(TITLE_NUMBER_PR_CHANGE="",IF(TITLE_NUMBER_PR="","",TITLE_NUMBER_PR),TITLE_NUMBER_PR_CHANGE)</f>
        <v>1577</v>
      </c>
      <c r="AE35" s="2364"/>
      <c r="AF35" s="2364"/>
      <c r="AG35" s="2364"/>
      <c r="AH35" s="2364"/>
      <c r="AI35" s="2364"/>
      <c r="AJ35" s="2364"/>
      <c r="AK35" s="439"/>
      <c r="AL35" s="439"/>
      <c r="AM35" s="393"/>
      <c r="AN35" s="481"/>
      <c r="AO35" s="481"/>
      <c r="AP35" s="481"/>
      <c r="AQ35" s="481"/>
      <c r="AR35" s="481"/>
      <c r="AS35" s="531">
        <v>0</v>
      </c>
    </row>
    <row s="849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553</v>
      </c>
      <c r="AD36" s="439"/>
      <c r="AE36" s="439"/>
      <c r="AF36" s="439"/>
      <c r="AG36" s="439"/>
      <c r="AH36" s="439"/>
      <c r="AI36" s="439"/>
      <c r="AJ36" s="439"/>
      <c r="AK36" s="391" t="s">
        <v>553</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428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429</v>
      </c>
      <c r="AS38" s="1268">
        <v>14</v>
      </c>
    </row>
    <row customHeight="1" ht="14.699999999999998">
      <c r="Q39" s="489"/>
      <c r="R39" s="489"/>
      <c r="S39" s="2386" t="s">
        <v>88</v>
      </c>
      <c r="T39" s="2322" t="s">
        <v>554</v>
      </c>
      <c r="U39" s="414"/>
      <c r="V39" s="2387" t="s">
        <v>555</v>
      </c>
      <c r="W39" s="2388"/>
      <c r="X39" s="2388"/>
      <c r="Y39" s="2388"/>
      <c r="Z39" s="2388"/>
      <c r="AA39" s="2388"/>
      <c r="AB39" s="2389"/>
      <c r="AC39" s="2390" t="s">
        <v>556</v>
      </c>
      <c r="AD39" s="2387" t="s">
        <v>555</v>
      </c>
      <c r="AE39" s="2388"/>
      <c r="AF39" s="2388"/>
      <c r="AG39" s="2388"/>
      <c r="AH39" s="2388"/>
      <c r="AI39" s="2388"/>
      <c r="AJ39" s="2389"/>
      <c r="AK39" s="2390" t="s">
        <v>557</v>
      </c>
      <c r="AL39" s="2393" t="s">
        <v>558</v>
      </c>
      <c r="AM39" s="2240"/>
      <c r="AS39" s="1268">
        <v>14</v>
      </c>
    </row>
    <row customHeight="1" ht="35.699999999999996">
      <c r="Q40" s="489"/>
      <c r="R40" s="489"/>
      <c r="S40" s="2386"/>
      <c r="T40" s="2322"/>
      <c r="U40" s="1144"/>
      <c r="V40" s="2373" t="s">
        <v>559</v>
      </c>
      <c r="W40" s="2396"/>
      <c r="X40" s="2375" t="s">
        <v>561</v>
      </c>
      <c r="Y40" s="2376"/>
      <c r="Z40" s="2375" t="s">
        <v>562</v>
      </c>
      <c r="AA40" s="2382"/>
      <c r="AB40" s="2376"/>
      <c r="AC40" s="2391"/>
      <c r="AD40" s="2373" t="s">
        <v>575</v>
      </c>
      <c r="AE40" s="2396"/>
      <c r="AF40" s="2375" t="s">
        <v>561</v>
      </c>
      <c r="AG40" s="2376"/>
      <c r="AH40" s="2375" t="s">
        <v>562</v>
      </c>
      <c r="AI40" s="2382"/>
      <c r="AJ40" s="2376"/>
      <c r="AK40" s="2391"/>
      <c r="AL40" s="2394"/>
      <c r="AM40" s="2240"/>
      <c r="AS40" s="1268">
        <v>34</v>
      </c>
    </row>
    <row customHeight="1" ht="35.699999999999996">
      <c r="A41" s="1483"/>
      <c r="B41" s="1483" t="s">
        <v>210</v>
      </c>
      <c r="C41" s="1483" t="s">
        <v>211</v>
      </c>
      <c r="D41" s="1483" t="s">
        <v>212</v>
      </c>
      <c r="E41" s="1477" t="s">
        <v>563</v>
      </c>
      <c r="F41" s="1477" t="s">
        <v>564</v>
      </c>
      <c r="G41" s="1477" t="s">
        <v>565</v>
      </c>
      <c r="H41" s="1477" t="s">
        <v>566</v>
      </c>
      <c r="I41" s="1477" t="s">
        <v>567</v>
      </c>
      <c r="J41" s="1477" t="s">
        <v>568</v>
      </c>
      <c r="K41" s="1477" t="s">
        <v>569</v>
      </c>
      <c r="L41" s="1477" t="s">
        <v>544</v>
      </c>
      <c r="Q41" s="489"/>
      <c r="R41" s="489"/>
      <c r="S41" s="2386"/>
      <c r="T41" s="2322"/>
      <c r="U41" s="415"/>
      <c r="V41" s="2374"/>
      <c r="W41" s="2397"/>
      <c r="X41" s="1335" t="s">
        <v>570</v>
      </c>
      <c r="Y41" s="1335" t="s">
        <v>571</v>
      </c>
      <c r="Z41" s="1451" t="s">
        <v>572</v>
      </c>
      <c r="AA41" s="2383" t="s">
        <v>573</v>
      </c>
      <c r="AB41" s="2384"/>
      <c r="AC41" s="2392"/>
      <c r="AD41" s="2374"/>
      <c r="AE41" s="2397"/>
      <c r="AF41" s="1335" t="s">
        <v>570</v>
      </c>
      <c r="AG41" s="1335" t="s">
        <v>571</v>
      </c>
      <c r="AH41" s="1451" t="s">
        <v>572</v>
      </c>
      <c r="AI41" s="2383" t="s">
        <v>573</v>
      </c>
      <c r="AJ41" s="2384"/>
      <c r="AK41" s="2392"/>
      <c r="AL41" s="2395"/>
      <c r="AM41" s="2240"/>
      <c r="AS41" s="1268">
        <v>34</v>
      </c>
    </row>
    <row s="896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187</v>
      </c>
      <c r="T42" s="1368" t="s">
        <v>104</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249</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198</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249</v>
      </c>
      <c r="B44" s="1476" t="s">
        <v>250</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525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526</v>
      </c>
      <c r="AO44" s="613"/>
      <c r="AP44" s="613" t="str">
        <f>IF(T44="","",T44)</f>
        <v>Территория действия тарифа</v>
      </c>
      <c r="AQ44" s="613"/>
      <c r="AR44" s="613"/>
      <c r="AS44" s="1268">
        <v>21</v>
      </c>
    </row>
    <row customHeight="1" ht="24">
      <c r="A45" s="1476" t="s">
        <v>249</v>
      </c>
      <c r="B45" s="1476" t="s">
        <v>250</v>
      </c>
      <c r="C45" s="1476" t="s">
        <v>251</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527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528</v>
      </c>
      <c r="AO45" s="613"/>
      <c r="AP45" s="613" t="str">
        <f>IF(T45="","",T45)</f>
        <v>Наименование системы теплоснабжения </v>
      </c>
      <c r="AQ45" s="613"/>
      <c r="AR45" s="613"/>
      <c r="AS45" s="1268">
        <v>23</v>
      </c>
    </row>
    <row customHeight="1" ht="22.049999999999997">
      <c r="A46" s="1476" t="s">
        <v>249</v>
      </c>
      <c r="B46" s="1476" t="s">
        <v>250</v>
      </c>
      <c r="C46" s="1476" t="s">
        <v>251</v>
      </c>
      <c r="D46" s="1476" t="s">
        <v>252</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529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530</v>
      </c>
      <c r="AO46" s="613"/>
      <c r="AP46" s="613" t="str">
        <f>IF(T46="","",T46)</f>
        <v>Источник тепловой энергии  </v>
      </c>
      <c r="AQ46" s="613"/>
      <c r="AR46" s="613"/>
      <c r="AS46" s="1268">
        <v>21</v>
      </c>
    </row>
    <row s="8355" customFormat="1" customHeight="1" ht="0">
      <c r="A47" s="1456" t="s">
        <v>249</v>
      </c>
      <c r="B47" s="1456" t="s">
        <v>250</v>
      </c>
      <c r="C47" s="1456" t="s">
        <v>251</v>
      </c>
      <c r="D47" s="1456" t="s">
        <v>252</v>
      </c>
      <c r="E47" s="2372"/>
      <c r="F47" s="2372"/>
      <c r="G47" s="2372"/>
      <c r="H47" s="2372"/>
      <c r="I47" s="2369" t="str">
        <f>S46&amp;".1"</f>
        <v>....1</v>
      </c>
      <c r="J47" s="1456"/>
      <c r="K47" s="1456"/>
      <c r="L47" s="1459" t="s">
        <v>531</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249</v>
      </c>
      <c r="B48" s="1476" t="s">
        <v>250</v>
      </c>
      <c r="C48" s="1476" t="s">
        <v>251</v>
      </c>
      <c r="D48" s="1476" t="s">
        <v>252</v>
      </c>
      <c r="E48" s="2372"/>
      <c r="F48" s="2372"/>
      <c r="G48" s="2372"/>
      <c r="H48" s="2372"/>
      <c r="I48" s="2399"/>
      <c r="J48" s="2369" t="str">
        <f>S46&amp;".1"</f>
        <v>....1</v>
      </c>
      <c r="K48" s="1476"/>
      <c r="L48" s="1477" t="s">
        <v>534</v>
      </c>
      <c r="P48" s="2370"/>
      <c r="Q48" s="2370">
        <v>1</v>
      </c>
      <c r="R48" s="470"/>
      <c r="S48" s="1449" t="str">
        <f>$J48</f>
        <v>....1</v>
      </c>
      <c r="T48" s="399" t="s">
        <v>535</v>
      </c>
      <c r="U48" s="413"/>
      <c r="V48" s="2358"/>
      <c r="W48" s="2359"/>
      <c r="X48" s="2359"/>
      <c r="Y48" s="2359"/>
      <c r="Z48" s="2359"/>
      <c r="AA48" s="2359"/>
      <c r="AB48" s="2359"/>
      <c r="AC48" s="2360"/>
      <c r="AD48" s="2358"/>
      <c r="AE48" s="2359"/>
      <c r="AF48" s="2359"/>
      <c r="AG48" s="2359"/>
      <c r="AH48" s="2359"/>
      <c r="AI48" s="2359"/>
      <c r="AJ48" s="2359"/>
      <c r="AK48" s="2359"/>
      <c r="AL48" s="2360"/>
      <c r="AM48" s="1371" t="s">
        <v>536</v>
      </c>
      <c r="AO48" s="613"/>
      <c r="AP48" s="613" t="str">
        <f>IF(T48="","",T48)</f>
        <v>Группа потребителей</v>
      </c>
      <c r="AQ48" s="613"/>
      <c r="AR48" s="613"/>
      <c r="AS48" s="1268">
        <v>21</v>
      </c>
    </row>
    <row customHeight="1" ht="22.049999999999997">
      <c r="A49" s="1476" t="s">
        <v>249</v>
      </c>
      <c r="B49" s="1476" t="s">
        <v>250</v>
      </c>
      <c r="C49" s="1476" t="s">
        <v>251</v>
      </c>
      <c r="D49" s="1476" t="s">
        <v>252</v>
      </c>
      <c r="E49" s="2372"/>
      <c r="F49" s="2372"/>
      <c r="G49" s="2372"/>
      <c r="H49" s="2372"/>
      <c r="I49" s="2399"/>
      <c r="J49" s="2399"/>
      <c r="K49" s="2369" t="str">
        <f>J48&amp;".1"</f>
        <v>....1.1</v>
      </c>
      <c r="L49" s="1477" t="s">
        <v>537</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576</v>
      </c>
      <c r="AN49" s="624">
        <f>STRCHECKDATE(V50:AL50)</f>
      </c>
      <c r="AO49" s="613"/>
      <c r="AP49" s="613" t="str">
        <f>IF(T49="","",T49)</f>
        <v/>
      </c>
      <c r="AQ49" s="613"/>
      <c r="AR49" s="613"/>
      <c r="AS49" s="1268">
        <v>21</v>
      </c>
    </row>
    <row customHeight="1" ht="1.05">
      <c r="A50" s="1476" t="s">
        <v>249</v>
      </c>
      <c r="B50" s="1476" t="s">
        <v>250</v>
      </c>
      <c r="C50" s="1476" t="s">
        <v>251</v>
      </c>
      <c r="D50" s="1476" t="s">
        <v>252</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249</v>
      </c>
      <c r="B51" s="1476" t="s">
        <v>250</v>
      </c>
      <c r="C51" s="1476" t="s">
        <v>251</v>
      </c>
      <c r="D51" s="1476" t="s">
        <v>252</v>
      </c>
      <c r="E51" s="2372"/>
      <c r="F51" s="2372"/>
      <c r="G51" s="2372"/>
      <c r="H51" s="2372"/>
      <c r="I51" s="2399"/>
      <c r="J51" s="2369"/>
      <c r="K51" s="1476"/>
      <c r="L51" s="1477"/>
      <c r="P51" s="2370"/>
      <c r="Q51" s="2370"/>
      <c r="R51" s="469"/>
      <c r="S51" s="1391"/>
      <c r="T51" s="400" t="s">
        <v>539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249</v>
      </c>
      <c r="B52" s="1476" t="s">
        <v>250</v>
      </c>
      <c r="C52" s="1476" t="s">
        <v>251</v>
      </c>
      <c r="D52" s="1476" t="s">
        <v>252</v>
      </c>
      <c r="E52" s="2372"/>
      <c r="F52" s="2372"/>
      <c r="G52" s="2372"/>
      <c r="H52" s="2372"/>
      <c r="I52" s="2369"/>
      <c r="J52" s="1476"/>
      <c r="K52" s="1476"/>
      <c r="L52" s="1477"/>
      <c r="P52" s="2370"/>
      <c r="Q52" s="1444"/>
      <c r="R52" s="469"/>
      <c r="S52" s="1391"/>
      <c r="T52" s="478" t="s">
        <v>540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249</v>
      </c>
      <c r="B53" s="1476" t="s">
        <v>250</v>
      </c>
      <c r="C53" s="1476" t="s">
        <v>251</v>
      </c>
      <c r="D53" s="1476" t="s">
        <v>252</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8355" customFormat="1" customHeight="1" ht="1.05">
      <c r="A54" s="1456" t="s">
        <v>249</v>
      </c>
      <c r="B54" s="1456" t="s">
        <v>250</v>
      </c>
      <c r="C54" s="1456" t="s">
        <v>251</v>
      </c>
      <c r="D54" s="1427"/>
      <c r="E54" s="2372"/>
      <c r="F54" s="2372"/>
      <c r="G54" s="2371"/>
      <c r="H54" s="1427"/>
      <c r="I54" s="1427"/>
      <c r="J54" s="1427"/>
      <c r="K54" s="1427"/>
      <c r="L54" s="1452"/>
      <c r="M54" s="1428"/>
      <c r="N54" s="1428"/>
      <c r="P54" s="1429"/>
      <c r="Q54" s="1430"/>
      <c r="R54" s="1429"/>
      <c r="S54" s="1435"/>
      <c r="T54" s="1438" t="s">
        <v>542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8355" customFormat="1" customHeight="1" ht="1.05">
      <c r="A55" s="1456" t="s">
        <v>249</v>
      </c>
      <c r="B55" s="1456" t="s">
        <v>250</v>
      </c>
      <c r="C55" s="1427"/>
      <c r="D55" s="1427"/>
      <c r="E55" s="2372"/>
      <c r="F55" s="2371"/>
      <c r="G55" s="1427"/>
      <c r="H55" s="1427"/>
      <c r="I55" s="1427"/>
      <c r="J55" s="1427"/>
      <c r="K55" s="1427"/>
      <c r="L55" s="1452"/>
      <c r="M55" s="1434"/>
      <c r="N55" s="1434"/>
      <c r="P55" s="1429"/>
      <c r="Q55" s="1430"/>
      <c r="R55" s="1429"/>
      <c r="S55" s="1435"/>
      <c r="T55" s="1438" t="s">
        <v>298</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8355" customFormat="1" customHeight="1" ht="1.05">
      <c r="A56" s="1456" t="s">
        <v>249</v>
      </c>
      <c r="B56" s="1456"/>
      <c r="C56" s="1456"/>
      <c r="D56" s="1456"/>
      <c r="E56" s="2371"/>
      <c r="F56" s="1456"/>
      <c r="G56" s="1456"/>
      <c r="H56" s="1456"/>
      <c r="I56" s="1456"/>
      <c r="J56" s="1456"/>
      <c r="K56" s="1456"/>
      <c r="L56" s="1459"/>
      <c r="M56" s="1434"/>
      <c r="N56" s="1434"/>
      <c r="O56" s="631"/>
      <c r="P56" s="493"/>
      <c r="Q56" s="1457"/>
      <c r="R56" s="493"/>
      <c r="S56" s="1435"/>
      <c r="T56" s="1438" t="s">
        <v>355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835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356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27BCEA-7FB3-C04E-4D0E-FCF92379BEC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354" width="10.57421875" hidden="1"/>
    <col min="2" max="2" style="8354" width="11.00390625" hidden="1" customWidth="1"/>
    <col min="3" max="3" style="8354" width="10.57421875" hidden="1"/>
    <col min="4" max="4" style="8354" width="11.8515625" hidden="1" customWidth="1"/>
    <col min="5" max="5" style="8354" width="10.00390625" hidden="1" customWidth="1"/>
    <col min="6" max="6" style="8354" width="8.7109375" hidden="1" customWidth="1"/>
    <col min="7" max="7" style="8354" width="7.57421875" hidden="1" customWidth="1"/>
    <col min="8" max="8" style="8354" width="11.421875" hidden="1" customWidth="1"/>
    <col min="9" max="9" style="8354" width="12.00390625" hidden="1" customWidth="1"/>
    <col min="10" max="10" style="8354" width="9.8515625" hidden="1" customWidth="1"/>
    <col min="11" max="11" style="8354" width="11.421875" hidden="1" customWidth="1"/>
    <col min="12" max="12" style="9204" width="19.140625" hidden="1" customWidth="1"/>
    <col min="13" max="14" style="9205" width="12.28125" hidden="1" customWidth="1"/>
    <col min="15" max="15" style="9205" width="23.421875" hidden="1" customWidth="1"/>
    <col min="16" max="16" style="9206" width="3.7109375" hidden="1" customWidth="1"/>
    <col min="17" max="18" style="9207" width="3.00390625" customWidth="1"/>
    <col min="19" max="19" style="9208" width="12.00390625" customWidth="1"/>
    <col min="20" max="20" style="8273" width="31.00390625" customWidth="1"/>
    <col min="21" max="21" style="8273" width="0.140625" customWidth="1"/>
    <col min="22" max="22" style="8273" width="24.7109375" hidden="1" customWidth="1"/>
    <col min="23" max="23" style="8273" width="0.140625" hidden="1" customWidth="1"/>
    <col min="24" max="25" style="8273" width="24.7109375" hidden="1" customWidth="1"/>
    <col min="26" max="26" style="8273" width="11.7109375" hidden="1" customWidth="1"/>
    <col min="27" max="27" style="8273" width="3.7109375" hidden="1" customWidth="1"/>
    <col min="28" max="28" style="8273" width="11.7109375" hidden="1" customWidth="1"/>
    <col min="29" max="29" style="8273" width="8.57421875" hidden="1" customWidth="1"/>
    <col min="30" max="30" style="8273" width="24.7109375" customWidth="1"/>
    <col min="31" max="31" style="8273" width="0.140625" customWidth="1"/>
    <col min="32" max="33" style="8273" width="24.00390625" customWidth="1"/>
    <col min="34" max="34" style="8273" width="11.00390625" customWidth="1"/>
    <col min="35" max="35" style="8273" width="3.7109375" customWidth="1"/>
    <col min="36" max="36" style="8273" width="11.00390625" customWidth="1"/>
    <col min="37" max="37" style="8273" width="8.57421875" hidden="1" customWidth="1"/>
    <col min="38" max="38" style="8273" width="4.00390625" customWidth="1"/>
    <col min="39" max="39" style="8273" width="115.00390625" customWidth="1"/>
    <col min="40" max="44" style="8355" width="10.00390625" customWidth="1"/>
    <col min="45" max="45" style="8273"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198</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524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525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526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527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528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529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530</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531</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534</v>
      </c>
      <c r="M7" s="650"/>
      <c r="N7" s="1479"/>
      <c r="P7" s="2370"/>
      <c r="Q7" s="2370">
        <v>1</v>
      </c>
      <c r="R7" s="470"/>
      <c r="S7" s="1449">
        <f>$J7</f>
      </c>
      <c r="T7" s="399" t="s">
        <v>535</v>
      </c>
      <c r="U7" s="413"/>
      <c r="V7" s="2358"/>
      <c r="W7" s="2359"/>
      <c r="X7" s="2359"/>
      <c r="Y7" s="2359"/>
      <c r="Z7" s="2359"/>
      <c r="AA7" s="2359"/>
      <c r="AB7" s="2359"/>
      <c r="AC7" s="2360"/>
      <c r="AD7" s="2358"/>
      <c r="AE7" s="2359"/>
      <c r="AF7" s="2359"/>
      <c r="AG7" s="2359"/>
      <c r="AH7" s="2359"/>
      <c r="AI7" s="2359"/>
      <c r="AJ7" s="2359"/>
      <c r="AK7" s="2359"/>
      <c r="AL7" s="2360"/>
      <c r="AM7" s="1371" t="s">
        <v>536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537</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538</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539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540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8355"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542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8355"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298</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8355"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355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8354" customFormat="1" customHeight="1" ht="22.5" hidden="1">
      <c r="L20" s="1442"/>
      <c r="M20" s="1475"/>
      <c r="N20" s="1475"/>
      <c r="O20" s="1480" t="s">
        <v>543</v>
      </c>
      <c r="P20" s="1475"/>
      <c r="Q20" s="1484"/>
      <c r="R20" s="1484"/>
      <c r="S20" s="842"/>
      <c r="Z20" s="1480"/>
      <c r="AB20" s="1480"/>
      <c r="AC20" s="1479"/>
      <c r="AH20" s="1480"/>
      <c r="AJ20" s="1480"/>
      <c r="AK20" s="1479"/>
      <c r="AN20" s="624"/>
      <c r="AO20" s="624"/>
      <c r="AP20" s="624"/>
      <c r="AQ20" s="624"/>
      <c r="AR20" s="624"/>
      <c r="AS20" s="1273">
        <v>0</v>
      </c>
    </row>
    <row s="8354" customFormat="1" customHeight="1" ht="14.25" hidden="1">
      <c r="L21" s="1442"/>
      <c r="M21" s="1475"/>
      <c r="N21" s="1475"/>
      <c r="O21" s="1475"/>
      <c r="P21" s="1475"/>
      <c r="Q21" s="1484"/>
      <c r="R21" s="1484"/>
      <c r="S21" s="842"/>
      <c r="AC21" s="1479"/>
      <c r="AK21" s="1479"/>
      <c r="AN21" s="624"/>
      <c r="AO21" s="624"/>
      <c r="AP21" s="624"/>
      <c r="AQ21" s="624"/>
      <c r="AR21" s="624"/>
      <c r="AS21" s="1273">
        <v>0</v>
      </c>
    </row>
    <row s="8354" customFormat="1" customHeight="1" ht="14.25" hidden="1">
      <c r="L22" s="1442"/>
      <c r="M22" s="1475"/>
      <c r="N22" s="1475"/>
      <c r="O22" s="1477" t="s">
        <v>544</v>
      </c>
      <c r="P22" s="1475"/>
      <c r="Q22" s="1484"/>
      <c r="R22" s="1484"/>
      <c r="S22" s="842"/>
      <c r="T22" s="1273" t="s">
        <v>545</v>
      </c>
      <c r="AA22" s="299" t="s">
        <v>546</v>
      </c>
      <c r="AC22" s="299" t="s">
        <v>547</v>
      </c>
      <c r="AD22" s="1273" t="s">
        <v>545</v>
      </c>
      <c r="AI22" s="299" t="s">
        <v>548</v>
      </c>
      <c r="AK22" s="299" t="s">
        <v>547</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МУП ЖКХ "Родник"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8491"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8491" customFormat="1" customHeight="1" ht="18.75" hidden="1">
      <c r="A30" s="1481"/>
      <c r="B30" s="1481"/>
      <c r="C30" s="1481"/>
      <c r="D30" s="1481"/>
      <c r="E30" s="1481"/>
      <c r="F30" s="1481"/>
      <c r="G30" s="1481"/>
      <c r="H30" s="1481"/>
      <c r="I30" s="1481"/>
      <c r="J30" s="1481"/>
      <c r="K30" s="1481"/>
      <c r="L30" s="1482"/>
      <c r="M30" s="1481"/>
      <c r="N30" s="1481"/>
      <c r="O30" s="1481"/>
      <c r="S30" s="2363" t="s">
        <v>549</v>
      </c>
      <c r="T30" s="2363"/>
      <c r="U30" s="1485"/>
      <c r="V30" s="2377" t="str">
        <f>IF(TITLE_DATE_PR_CHANGE="",IF(TITLE_DATE_PR="","",TITLE_DATE_PR),TITLE_DATE_PR_CHANGE)</f>
        <v>45586</v>
      </c>
      <c r="W30" s="2377"/>
      <c r="X30" s="2377"/>
      <c r="Y30" s="2377"/>
      <c r="Z30" s="2377"/>
      <c r="AA30" s="2377"/>
      <c r="AB30" s="2377"/>
      <c r="AC30" s="439"/>
      <c r="AD30" s="2377" t="str">
        <f>IF(TITLE_DATE_PR_CHANGE="",IF(TITLE_DATE_PR="","",TITLE_DATE_PR),TITLE_DATE_PR_CHANGE)</f>
        <v>45586</v>
      </c>
      <c r="AE30" s="2377"/>
      <c r="AF30" s="2377"/>
      <c r="AG30" s="2377"/>
      <c r="AH30" s="2377"/>
      <c r="AI30" s="2377"/>
      <c r="AJ30" s="2377"/>
      <c r="AK30" s="439"/>
      <c r="AL30" s="439"/>
      <c r="AM30" s="393"/>
      <c r="AN30" s="481"/>
      <c r="AO30" s="481"/>
      <c r="AP30" s="481"/>
      <c r="AQ30" s="481"/>
      <c r="AR30" s="481"/>
      <c r="AS30" s="531">
        <v>0</v>
      </c>
    </row>
    <row s="8491" customFormat="1" customHeight="1" ht="18.75" hidden="1">
      <c r="A31" s="1481"/>
      <c r="B31" s="1481"/>
      <c r="C31" s="1481"/>
      <c r="D31" s="1481"/>
      <c r="E31" s="1481"/>
      <c r="F31" s="1481"/>
      <c r="G31" s="1481"/>
      <c r="H31" s="1481"/>
      <c r="I31" s="1481"/>
      <c r="J31" s="1481"/>
      <c r="K31" s="1481"/>
      <c r="L31" s="1482"/>
      <c r="M31" s="1481"/>
      <c r="N31" s="1481"/>
      <c r="O31" s="1481"/>
      <c r="S31" s="2363" t="s">
        <v>550</v>
      </c>
      <c r="T31" s="2363"/>
      <c r="U31" s="1485"/>
      <c r="V31" s="2364" t="str">
        <f>IF(TITLE_NUMBER_PR_CHANGE="",IF(TITLE_NUMBER_PR="","",TITLE_NUMBER_PR),TITLE_NUMBER_PR_CHANGE)</f>
        <v>1577</v>
      </c>
      <c r="W31" s="2364"/>
      <c r="X31" s="2364"/>
      <c r="Y31" s="2364"/>
      <c r="Z31" s="2364"/>
      <c r="AA31" s="2364"/>
      <c r="AB31" s="2364"/>
      <c r="AC31" s="439"/>
      <c r="AD31" s="2364" t="str">
        <f>IF(TITLE_NUMBER_PR_CHANGE="",IF(TITLE_NUMBER_PR="","",TITLE_NUMBER_PR),TITLE_NUMBER_PR_CHANGE)</f>
        <v>1577</v>
      </c>
      <c r="AE31" s="2364"/>
      <c r="AF31" s="2364"/>
      <c r="AG31" s="2364"/>
      <c r="AH31" s="2364"/>
      <c r="AI31" s="2364"/>
      <c r="AJ31" s="2364"/>
      <c r="AK31" s="439"/>
      <c r="AL31" s="439"/>
      <c r="AM31" s="393"/>
      <c r="AN31" s="481"/>
      <c r="AO31" s="481"/>
      <c r="AP31" s="481"/>
      <c r="AQ31" s="481"/>
      <c r="AR31" s="481"/>
      <c r="AS31" s="531">
        <v>0</v>
      </c>
    </row>
    <row s="8491"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8491" customFormat="1" customHeight="1" ht="18.75">
      <c r="A34" s="1481"/>
      <c r="B34" s="1481"/>
      <c r="C34" s="1481"/>
      <c r="D34" s="1481"/>
      <c r="E34" s="1481"/>
      <c r="F34" s="1481"/>
      <c r="G34" s="1481"/>
      <c r="H34" s="1481"/>
      <c r="I34" s="1481"/>
      <c r="J34" s="1481"/>
      <c r="K34" s="1481"/>
      <c r="L34" s="1482"/>
      <c r="M34" s="1481"/>
      <c r="N34" s="1481"/>
      <c r="O34" s="1481"/>
      <c r="S34" s="2363" t="s">
        <v>551</v>
      </c>
      <c r="T34" s="2363"/>
      <c r="U34" s="1485"/>
      <c r="V34" s="2377" t="str">
        <f>IF(TITLE_DATE_PR_CHANGE="",IF(TITLE_DATE_PR="","",TITLE_DATE_PR),TITLE_DATE_PR_CHANGE)</f>
        <v>45586</v>
      </c>
      <c r="W34" s="2377"/>
      <c r="X34" s="2377"/>
      <c r="Y34" s="2377"/>
      <c r="Z34" s="2377"/>
      <c r="AA34" s="2377"/>
      <c r="AB34" s="2377"/>
      <c r="AC34" s="439"/>
      <c r="AD34" s="2377" t="str">
        <f>IF(TITLE_DATE_PR_CHANGE="",IF(TITLE_DATE_PR="","",TITLE_DATE_PR),TITLE_DATE_PR_CHANGE)</f>
        <v>45586</v>
      </c>
      <c r="AE34" s="2377"/>
      <c r="AF34" s="2377"/>
      <c r="AG34" s="2377"/>
      <c r="AH34" s="2377"/>
      <c r="AI34" s="2377"/>
      <c r="AJ34" s="2377"/>
      <c r="AK34" s="439"/>
      <c r="AL34" s="439"/>
      <c r="AM34" s="393"/>
      <c r="AN34" s="481"/>
      <c r="AO34" s="481"/>
      <c r="AP34" s="481"/>
      <c r="AQ34" s="481"/>
      <c r="AR34" s="481"/>
      <c r="AS34" s="531">
        <v>0</v>
      </c>
    </row>
    <row s="8491" customFormat="1" customHeight="1" ht="25.5">
      <c r="A35" s="1481"/>
      <c r="B35" s="1481"/>
      <c r="C35" s="1481"/>
      <c r="D35" s="1481"/>
      <c r="E35" s="1481"/>
      <c r="F35" s="1481"/>
      <c r="G35" s="1481"/>
      <c r="H35" s="1481"/>
      <c r="I35" s="1481"/>
      <c r="J35" s="1481"/>
      <c r="K35" s="1481"/>
      <c r="L35" s="1482"/>
      <c r="M35" s="1481"/>
      <c r="N35" s="1481"/>
      <c r="O35" s="1481"/>
      <c r="S35" s="2363" t="s">
        <v>552</v>
      </c>
      <c r="T35" s="2363"/>
      <c r="U35" s="1485"/>
      <c r="V35" s="2364" t="str">
        <f>IF(TITLE_NUMBER_PR_CHANGE="",IF(TITLE_NUMBER_PR="","",TITLE_NUMBER_PR),TITLE_NUMBER_PR_CHANGE)</f>
        <v>1577</v>
      </c>
      <c r="W35" s="2364"/>
      <c r="X35" s="2364"/>
      <c r="Y35" s="2364"/>
      <c r="Z35" s="2364"/>
      <c r="AA35" s="2364"/>
      <c r="AB35" s="2364"/>
      <c r="AC35" s="439"/>
      <c r="AD35" s="2364" t="str">
        <f>IF(TITLE_NUMBER_PR_CHANGE="",IF(TITLE_NUMBER_PR="","",TITLE_NUMBER_PR),TITLE_NUMBER_PR_CHANGE)</f>
        <v>1577</v>
      </c>
      <c r="AE35" s="2364"/>
      <c r="AF35" s="2364"/>
      <c r="AG35" s="2364"/>
      <c r="AH35" s="2364"/>
      <c r="AI35" s="2364"/>
      <c r="AJ35" s="2364"/>
      <c r="AK35" s="439"/>
      <c r="AL35" s="439"/>
      <c r="AM35" s="393"/>
      <c r="AN35" s="481"/>
      <c r="AO35" s="481"/>
      <c r="AP35" s="481"/>
      <c r="AQ35" s="481"/>
      <c r="AR35" s="481"/>
      <c r="AS35" s="531">
        <v>0</v>
      </c>
    </row>
    <row s="849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553</v>
      </c>
      <c r="AD36" s="439"/>
      <c r="AE36" s="439"/>
      <c r="AF36" s="439"/>
      <c r="AG36" s="439"/>
      <c r="AH36" s="439"/>
      <c r="AI36" s="439"/>
      <c r="AJ36" s="439"/>
      <c r="AK36" s="391" t="s">
        <v>553</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428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429</v>
      </c>
      <c r="AS38" s="1268">
        <v>14</v>
      </c>
    </row>
    <row customHeight="1" ht="14.699999999999998">
      <c r="Q39" s="489"/>
      <c r="R39" s="489"/>
      <c r="S39" s="2386" t="s">
        <v>88</v>
      </c>
      <c r="T39" s="2322" t="s">
        <v>554</v>
      </c>
      <c r="U39" s="414"/>
      <c r="V39" s="2387" t="s">
        <v>555</v>
      </c>
      <c r="W39" s="2388"/>
      <c r="X39" s="2388"/>
      <c r="Y39" s="2388"/>
      <c r="Z39" s="2388"/>
      <c r="AA39" s="2388"/>
      <c r="AB39" s="2389"/>
      <c r="AC39" s="2390" t="s">
        <v>556</v>
      </c>
      <c r="AD39" s="2387" t="s">
        <v>555</v>
      </c>
      <c r="AE39" s="2388"/>
      <c r="AF39" s="2388"/>
      <c r="AG39" s="2388"/>
      <c r="AH39" s="2388"/>
      <c r="AI39" s="2388"/>
      <c r="AJ39" s="2389"/>
      <c r="AK39" s="2390" t="s">
        <v>557</v>
      </c>
      <c r="AL39" s="2393" t="s">
        <v>558</v>
      </c>
      <c r="AM39" s="2240"/>
      <c r="AS39" s="1268">
        <v>14</v>
      </c>
    </row>
    <row customHeight="1" ht="35.699999999999996">
      <c r="Q40" s="489"/>
      <c r="R40" s="489"/>
      <c r="S40" s="2386"/>
      <c r="T40" s="2322"/>
      <c r="U40" s="1144"/>
      <c r="V40" s="2373" t="s">
        <v>559</v>
      </c>
      <c r="W40" s="2396"/>
      <c r="X40" s="2375" t="s">
        <v>561</v>
      </c>
      <c r="Y40" s="2376"/>
      <c r="Z40" s="2375" t="s">
        <v>562</v>
      </c>
      <c r="AA40" s="2382"/>
      <c r="AB40" s="2376"/>
      <c r="AC40" s="2391"/>
      <c r="AD40" s="2373" t="s">
        <v>575</v>
      </c>
      <c r="AE40" s="2396"/>
      <c r="AF40" s="2375" t="s">
        <v>561</v>
      </c>
      <c r="AG40" s="2376"/>
      <c r="AH40" s="2375" t="s">
        <v>562</v>
      </c>
      <c r="AI40" s="2382"/>
      <c r="AJ40" s="2376"/>
      <c r="AK40" s="2391"/>
      <c r="AL40" s="2394"/>
      <c r="AM40" s="2240"/>
      <c r="AS40" s="1268">
        <v>34</v>
      </c>
    </row>
    <row customHeight="1" ht="35.699999999999996">
      <c r="A41" s="1483"/>
      <c r="B41" s="1483" t="s">
        <v>210</v>
      </c>
      <c r="C41" s="1483" t="s">
        <v>211</v>
      </c>
      <c r="D41" s="1483" t="s">
        <v>212</v>
      </c>
      <c r="E41" s="1477" t="s">
        <v>563</v>
      </c>
      <c r="F41" s="1477" t="s">
        <v>564</v>
      </c>
      <c r="G41" s="1477" t="s">
        <v>565</v>
      </c>
      <c r="H41" s="1477" t="s">
        <v>566</v>
      </c>
      <c r="I41" s="1477" t="s">
        <v>567</v>
      </c>
      <c r="J41" s="1477" t="s">
        <v>568</v>
      </c>
      <c r="K41" s="1477" t="s">
        <v>569</v>
      </c>
      <c r="L41" s="1477" t="s">
        <v>544</v>
      </c>
      <c r="Q41" s="489"/>
      <c r="R41" s="489"/>
      <c r="S41" s="2386"/>
      <c r="T41" s="2322"/>
      <c r="U41" s="415"/>
      <c r="V41" s="2374"/>
      <c r="W41" s="2397"/>
      <c r="X41" s="1335" t="s">
        <v>570</v>
      </c>
      <c r="Y41" s="1335" t="s">
        <v>571</v>
      </c>
      <c r="Z41" s="1451" t="s">
        <v>572</v>
      </c>
      <c r="AA41" s="2383" t="s">
        <v>573</v>
      </c>
      <c r="AB41" s="2384"/>
      <c r="AC41" s="2392"/>
      <c r="AD41" s="2374"/>
      <c r="AE41" s="2397"/>
      <c r="AF41" s="1335" t="s">
        <v>570</v>
      </c>
      <c r="AG41" s="1335" t="s">
        <v>571</v>
      </c>
      <c r="AH41" s="1451" t="s">
        <v>572</v>
      </c>
      <c r="AI41" s="2383" t="s">
        <v>573</v>
      </c>
      <c r="AJ41" s="2384"/>
      <c r="AK41" s="2392"/>
      <c r="AL41" s="2395"/>
      <c r="AM41" s="2240"/>
      <c r="AS41" s="1268">
        <v>34</v>
      </c>
    </row>
    <row s="896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187</v>
      </c>
      <c r="T42" s="1368" t="s">
        <v>104</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255</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198</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255</v>
      </c>
      <c r="B44" s="1476" t="s">
        <v>256</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525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526</v>
      </c>
      <c r="AO44" s="613"/>
      <c r="AP44" s="613" t="str">
        <f>IF(T44="","",T44)</f>
        <v>Территория действия тарифа</v>
      </c>
      <c r="AQ44" s="613"/>
      <c r="AR44" s="613"/>
      <c r="AS44" s="1268">
        <v>21</v>
      </c>
    </row>
    <row customHeight="1" ht="24">
      <c r="A45" s="1476" t="s">
        <v>255</v>
      </c>
      <c r="B45" s="1476" t="s">
        <v>256</v>
      </c>
      <c r="C45" s="1476" t="s">
        <v>257</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527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528</v>
      </c>
      <c r="AO45" s="613"/>
      <c r="AP45" s="613" t="str">
        <f>IF(T45="","",T45)</f>
        <v>Наименование системы теплоснабжения </v>
      </c>
      <c r="AQ45" s="613"/>
      <c r="AR45" s="613"/>
      <c r="AS45" s="1268">
        <v>23</v>
      </c>
    </row>
    <row customHeight="1" ht="22.049999999999997">
      <c r="A46" s="1476" t="s">
        <v>255</v>
      </c>
      <c r="B46" s="1476" t="s">
        <v>256</v>
      </c>
      <c r="C46" s="1476" t="s">
        <v>257</v>
      </c>
      <c r="D46" s="1476" t="s">
        <v>258</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529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530</v>
      </c>
      <c r="AO46" s="613"/>
      <c r="AP46" s="613" t="str">
        <f>IF(T46="","",T46)</f>
        <v>Источник тепловой энергии  </v>
      </c>
      <c r="AQ46" s="613"/>
      <c r="AR46" s="613"/>
      <c r="AS46" s="1268">
        <v>21</v>
      </c>
    </row>
    <row s="8355" customFormat="1" customHeight="1" ht="0">
      <c r="A47" s="1456" t="s">
        <v>255</v>
      </c>
      <c r="B47" s="1456" t="s">
        <v>256</v>
      </c>
      <c r="C47" s="1456" t="s">
        <v>257</v>
      </c>
      <c r="D47" s="1456" t="s">
        <v>258</v>
      </c>
      <c r="E47" s="2372"/>
      <c r="F47" s="2372"/>
      <c r="G47" s="2372"/>
      <c r="H47" s="2372"/>
      <c r="I47" s="2369" t="str">
        <f>S46&amp;".1"</f>
        <v>....1</v>
      </c>
      <c r="J47" s="1456"/>
      <c r="K47" s="1456"/>
      <c r="L47" s="1459" t="s">
        <v>531</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255</v>
      </c>
      <c r="B48" s="1476" t="s">
        <v>256</v>
      </c>
      <c r="C48" s="1476" t="s">
        <v>257</v>
      </c>
      <c r="D48" s="1476" t="s">
        <v>258</v>
      </c>
      <c r="E48" s="2372"/>
      <c r="F48" s="2372"/>
      <c r="G48" s="2372"/>
      <c r="H48" s="2372"/>
      <c r="I48" s="2399"/>
      <c r="J48" s="2369" t="str">
        <f>S46&amp;".1"</f>
        <v>....1</v>
      </c>
      <c r="K48" s="1476"/>
      <c r="L48" s="1477" t="s">
        <v>534</v>
      </c>
      <c r="P48" s="2370"/>
      <c r="Q48" s="2370">
        <v>1</v>
      </c>
      <c r="R48" s="470"/>
      <c r="S48" s="1449" t="str">
        <f>$J48</f>
        <v>....1</v>
      </c>
      <c r="T48" s="399" t="s">
        <v>535</v>
      </c>
      <c r="U48" s="413"/>
      <c r="V48" s="2358"/>
      <c r="W48" s="2359"/>
      <c r="X48" s="2359"/>
      <c r="Y48" s="2359"/>
      <c r="Z48" s="2359"/>
      <c r="AA48" s="2359"/>
      <c r="AB48" s="2359"/>
      <c r="AC48" s="2360"/>
      <c r="AD48" s="2358"/>
      <c r="AE48" s="2359"/>
      <c r="AF48" s="2359"/>
      <c r="AG48" s="2359"/>
      <c r="AH48" s="2359"/>
      <c r="AI48" s="2359"/>
      <c r="AJ48" s="2359"/>
      <c r="AK48" s="2359"/>
      <c r="AL48" s="2360"/>
      <c r="AM48" s="1371" t="s">
        <v>536</v>
      </c>
      <c r="AO48" s="613"/>
      <c r="AP48" s="613" t="str">
        <f>IF(T48="","",T48)</f>
        <v>Группа потребителей</v>
      </c>
      <c r="AQ48" s="613"/>
      <c r="AR48" s="613"/>
      <c r="AS48" s="1268">
        <v>21</v>
      </c>
    </row>
    <row customHeight="1" ht="22.049999999999997">
      <c r="A49" s="1476" t="s">
        <v>255</v>
      </c>
      <c r="B49" s="1476" t="s">
        <v>256</v>
      </c>
      <c r="C49" s="1476" t="s">
        <v>257</v>
      </c>
      <c r="D49" s="1476" t="s">
        <v>258</v>
      </c>
      <c r="E49" s="2372"/>
      <c r="F49" s="2372"/>
      <c r="G49" s="2372"/>
      <c r="H49" s="2372"/>
      <c r="I49" s="2399"/>
      <c r="J49" s="2399"/>
      <c r="K49" s="2369" t="str">
        <f>J48&amp;".1"</f>
        <v>....1.1</v>
      </c>
      <c r="L49" s="1477" t="s">
        <v>537</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576</v>
      </c>
      <c r="AN49" s="624">
        <f>STRCHECKDATE(V50:AL50)</f>
      </c>
      <c r="AO49" s="613"/>
      <c r="AP49" s="613" t="str">
        <f>IF(T49="","",T49)</f>
        <v/>
      </c>
      <c r="AQ49" s="613"/>
      <c r="AR49" s="613"/>
      <c r="AS49" s="1268">
        <v>21</v>
      </c>
    </row>
    <row customHeight="1" ht="0">
      <c r="A50" s="1476" t="s">
        <v>255</v>
      </c>
      <c r="B50" s="1476" t="s">
        <v>256</v>
      </c>
      <c r="C50" s="1476" t="s">
        <v>257</v>
      </c>
      <c r="D50" s="1476" t="s">
        <v>258</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255</v>
      </c>
      <c r="B51" s="1476" t="s">
        <v>256</v>
      </c>
      <c r="C51" s="1476" t="s">
        <v>257</v>
      </c>
      <c r="D51" s="1476" t="s">
        <v>258</v>
      </c>
      <c r="E51" s="2372"/>
      <c r="F51" s="2372"/>
      <c r="G51" s="2372"/>
      <c r="H51" s="2372"/>
      <c r="I51" s="2399"/>
      <c r="J51" s="2369"/>
      <c r="K51" s="1476"/>
      <c r="L51" s="1477"/>
      <c r="P51" s="2370"/>
      <c r="Q51" s="2370"/>
      <c r="R51" s="469"/>
      <c r="S51" s="1391"/>
      <c r="T51" s="400" t="s">
        <v>539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255</v>
      </c>
      <c r="B52" s="1476" t="s">
        <v>256</v>
      </c>
      <c r="C52" s="1476" t="s">
        <v>257</v>
      </c>
      <c r="D52" s="1476" t="s">
        <v>258</v>
      </c>
      <c r="E52" s="2372"/>
      <c r="F52" s="2372"/>
      <c r="G52" s="2372"/>
      <c r="H52" s="2372"/>
      <c r="I52" s="2369"/>
      <c r="J52" s="1476"/>
      <c r="K52" s="1476"/>
      <c r="L52" s="1477"/>
      <c r="P52" s="2370"/>
      <c r="Q52" s="1444"/>
      <c r="R52" s="469"/>
      <c r="S52" s="1391"/>
      <c r="T52" s="478" t="s">
        <v>540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255</v>
      </c>
      <c r="B53" s="1476" t="s">
        <v>256</v>
      </c>
      <c r="C53" s="1476" t="s">
        <v>257</v>
      </c>
      <c r="D53" s="1476" t="s">
        <v>258</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8355" customFormat="1" customHeight="1" ht="0">
      <c r="A54" s="1456" t="s">
        <v>255</v>
      </c>
      <c r="B54" s="1456" t="s">
        <v>256</v>
      </c>
      <c r="C54" s="1456" t="s">
        <v>257</v>
      </c>
      <c r="D54" s="1427"/>
      <c r="E54" s="2372"/>
      <c r="F54" s="2372"/>
      <c r="G54" s="2371"/>
      <c r="H54" s="1427"/>
      <c r="I54" s="1427"/>
      <c r="J54" s="1427"/>
      <c r="K54" s="1427"/>
      <c r="L54" s="1452"/>
      <c r="M54" s="1428"/>
      <c r="N54" s="1428"/>
      <c r="P54" s="1429"/>
      <c r="Q54" s="1430"/>
      <c r="R54" s="1429"/>
      <c r="S54" s="1435"/>
      <c r="T54" s="1438" t="s">
        <v>542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8355" customFormat="1" customHeight="1" ht="0">
      <c r="A55" s="1456" t="s">
        <v>255</v>
      </c>
      <c r="B55" s="1456" t="s">
        <v>256</v>
      </c>
      <c r="C55" s="1427"/>
      <c r="D55" s="1427"/>
      <c r="E55" s="2372"/>
      <c r="F55" s="2371"/>
      <c r="G55" s="1427"/>
      <c r="H55" s="1427"/>
      <c r="I55" s="1427"/>
      <c r="J55" s="1427"/>
      <c r="K55" s="1427"/>
      <c r="L55" s="1452"/>
      <c r="M55" s="1434"/>
      <c r="N55" s="1434"/>
      <c r="P55" s="1429"/>
      <c r="Q55" s="1430"/>
      <c r="R55" s="1429"/>
      <c r="S55" s="1435"/>
      <c r="T55" s="1438" t="s">
        <v>298</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8355" customFormat="1" customHeight="1" ht="0">
      <c r="A56" s="1456" t="s">
        <v>255</v>
      </c>
      <c r="B56" s="1456"/>
      <c r="C56" s="1456"/>
      <c r="D56" s="1456"/>
      <c r="E56" s="2371"/>
      <c r="F56" s="1456"/>
      <c r="G56" s="1456"/>
      <c r="H56" s="1456"/>
      <c r="I56" s="1456"/>
      <c r="J56" s="1456"/>
      <c r="K56" s="1456"/>
      <c r="L56" s="1459"/>
      <c r="M56" s="1434"/>
      <c r="N56" s="1434"/>
      <c r="O56" s="631"/>
      <c r="P56" s="493"/>
      <c r="Q56" s="1457"/>
      <c r="R56" s="493"/>
      <c r="S56" s="1435"/>
      <c r="T56" s="1438" t="s">
        <v>355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8355"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356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3A6BF5-07D3-E705-A51D-58C06F0F25AC}"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8273" width="10.57421875" hidden="1"/>
    <col min="2" max="2" style="8273" width="11.00390625" hidden="1" customWidth="1"/>
    <col min="3" max="3" style="8273" width="10.57421875" hidden="1"/>
    <col min="4" max="4" style="8273" width="11.8515625" hidden="1" customWidth="1"/>
    <col min="5" max="5" style="8273" width="10.00390625" hidden="1" customWidth="1"/>
    <col min="6" max="6" style="8273" width="8.7109375" hidden="1" customWidth="1"/>
    <col min="7" max="7" style="8273" width="7.57421875" hidden="1" customWidth="1"/>
    <col min="8" max="8" style="8273" width="11.421875" hidden="1" customWidth="1"/>
    <col min="9" max="9" style="8273" width="12.00390625" hidden="1" customWidth="1"/>
    <col min="10" max="10" style="8273" width="9.8515625" hidden="1" customWidth="1"/>
    <col min="11" max="12" style="8273" width="11.421875" hidden="1" customWidth="1"/>
    <col min="13" max="13" style="8352" width="19.140625" hidden="1" customWidth="1"/>
    <col min="14" max="15" style="9206" width="12.28125" hidden="1" customWidth="1"/>
    <col min="16" max="16" style="9206" width="23.421875" hidden="1" customWidth="1"/>
    <col min="17" max="17" style="9206" width="3.7109375" hidden="1" customWidth="1"/>
    <col min="18" max="20" style="9207" width="3.00390625" customWidth="1"/>
    <col min="21" max="21" style="9208" width="12.00390625" customWidth="1"/>
    <col min="22" max="22" style="8273" width="31.00390625" customWidth="1"/>
    <col min="23" max="23" style="8273" width="0.140625" customWidth="1"/>
    <col min="24" max="28" style="8273" width="21.7109375" hidden="1" customWidth="1"/>
    <col min="29" max="29" style="8273" width="11.7109375" hidden="1" customWidth="1"/>
    <col min="30" max="30" style="8273" width="3.7109375" hidden="1" customWidth="1"/>
    <col min="31" max="31" style="8273" width="11.7109375" hidden="1" customWidth="1"/>
    <col min="32" max="32" style="8273" width="8.57421875" hidden="1" customWidth="1"/>
    <col min="33" max="33" style="8273" width="21.7109375" customWidth="1"/>
    <col min="34" max="37" style="8273" width="21.00390625" customWidth="1"/>
    <col min="38" max="38" style="8273" width="11.00390625" customWidth="1"/>
    <col min="39" max="39" style="8273" width="3.7109375" customWidth="1"/>
    <col min="40" max="40" style="8273" width="11.00390625" customWidth="1"/>
    <col min="41" max="41" style="8273" width="8.57421875" hidden="1" customWidth="1"/>
    <col min="42" max="42" style="8273" width="4.00390625" customWidth="1"/>
    <col min="43" max="43" style="8273" width="115.00390625" customWidth="1"/>
    <col min="44" max="48" style="8355" width="10.00390625" customWidth="1"/>
    <col min="49" max="49" style="8273"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198</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524</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525</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526</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527</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528</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529</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530</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531</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534</v>
      </c>
      <c r="N7" s="622"/>
      <c r="O7" s="440"/>
      <c r="Q7" s="2370"/>
      <c r="R7" s="2370">
        <v>1</v>
      </c>
      <c r="S7" s="631"/>
      <c r="T7" s="470"/>
      <c r="U7" s="1449">
        <f>$J7</f>
      </c>
      <c r="V7" s="399" t="s">
        <v>535</v>
      </c>
      <c r="W7" s="413"/>
      <c r="X7" s="2358"/>
      <c r="Y7" s="2359"/>
      <c r="Z7" s="2359"/>
      <c r="AA7" s="2359"/>
      <c r="AB7" s="2359"/>
      <c r="AC7" s="2348"/>
      <c r="AD7" s="2348"/>
      <c r="AE7" s="2348"/>
      <c r="AF7" s="2421"/>
      <c r="AG7" s="2358"/>
      <c r="AH7" s="2359"/>
      <c r="AI7" s="2359"/>
      <c r="AJ7" s="2359"/>
      <c r="AK7" s="2359"/>
      <c r="AL7" s="2359"/>
      <c r="AM7" s="2359"/>
      <c r="AN7" s="2359"/>
      <c r="AO7" s="2359"/>
      <c r="AP7" s="2360"/>
      <c r="AQ7" s="1371" t="s">
        <v>536</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537</v>
      </c>
      <c r="N8" s="622"/>
      <c r="O8" s="440"/>
      <c r="P8" s="440"/>
      <c r="Q8" s="2370"/>
      <c r="R8" s="2370"/>
      <c r="S8" s="2370">
        <v>1</v>
      </c>
      <c r="T8" s="470"/>
      <c r="U8" s="1449">
        <f>$K8</f>
      </c>
      <c r="V8" s="1460"/>
      <c r="W8" s="413"/>
      <c r="X8" s="864"/>
      <c r="Y8" s="864"/>
      <c r="Z8" s="864"/>
      <c r="AA8" s="864"/>
      <c r="AB8" s="1518"/>
      <c r="AC8" s="2378"/>
      <c r="AD8" s="2220" t="s">
        <v>66</v>
      </c>
      <c r="AE8" s="2378"/>
      <c r="AF8" s="2220" t="s">
        <v>66</v>
      </c>
      <c r="AG8" s="1520"/>
      <c r="AH8" s="864"/>
      <c r="AI8" s="864"/>
      <c r="AJ8" s="864"/>
      <c r="AK8" s="1370"/>
      <c r="AL8" s="2378"/>
      <c r="AM8" s="2220" t="s">
        <v>66</v>
      </c>
      <c r="AN8" s="2378"/>
      <c r="AO8" s="2220" t="s">
        <v>66</v>
      </c>
      <c r="AP8" s="438"/>
      <c r="AQ8" s="1420" t="s">
        <v>577</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578</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579</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539</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540</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8355"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542</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8355"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298</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8355"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355</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66</v>
      </c>
      <c r="AN19" s="2380"/>
      <c r="AO19" s="2381" t="s">
        <v>66</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8354" customFormat="1" customHeight="1" ht="22.5" hidden="1">
      <c r="A24" s="1268"/>
      <c r="B24" s="1268"/>
      <c r="C24" s="1268"/>
      <c r="D24" s="1268"/>
      <c r="E24" s="1268"/>
      <c r="F24" s="1268"/>
      <c r="G24" s="1268"/>
      <c r="H24" s="1268"/>
      <c r="I24" s="1268"/>
      <c r="J24" s="1268"/>
      <c r="K24" s="1268"/>
      <c r="L24" s="1268"/>
      <c r="M24" s="1440"/>
      <c r="N24" s="1441"/>
      <c r="O24" s="1441"/>
      <c r="P24" s="1458" t="s">
        <v>543</v>
      </c>
      <c r="Q24" s="1475"/>
      <c r="R24" s="1484"/>
      <c r="S24" s="1484"/>
      <c r="T24" s="1484"/>
      <c r="U24" s="842"/>
      <c r="AC24" s="1480"/>
      <c r="AE24" s="1480"/>
      <c r="AF24" s="1479"/>
      <c r="AL24" s="1480"/>
      <c r="AN24" s="1480"/>
      <c r="AO24" s="1479"/>
      <c r="AR24" s="624"/>
      <c r="AS24" s="624"/>
      <c r="AT24" s="624"/>
      <c r="AU24" s="624"/>
      <c r="AV24" s="624"/>
      <c r="AW24" s="1273">
        <v>0</v>
      </c>
    </row>
    <row s="8354"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8354" customFormat="1" customHeight="1" ht="14.25" hidden="1">
      <c r="A26" s="1268"/>
      <c r="B26" s="1268"/>
      <c r="C26" s="1268"/>
      <c r="D26" s="1268"/>
      <c r="E26" s="1268"/>
      <c r="F26" s="1268"/>
      <c r="G26" s="1268"/>
      <c r="H26" s="1268"/>
      <c r="I26" s="1268"/>
      <c r="J26" s="1268"/>
      <c r="K26" s="1268"/>
      <c r="L26" s="1268"/>
      <c r="M26" s="1440"/>
      <c r="N26" s="1441"/>
      <c r="O26" s="1441"/>
      <c r="P26" s="1423" t="s">
        <v>544</v>
      </c>
      <c r="Q26" s="1475"/>
      <c r="R26" s="1484"/>
      <c r="S26" s="1484"/>
      <c r="T26" s="1484"/>
      <c r="U26" s="842"/>
      <c r="V26" s="1273" t="s">
        <v>545</v>
      </c>
      <c r="AD26" s="299" t="s">
        <v>546</v>
      </c>
      <c r="AF26" s="299" t="s">
        <v>547</v>
      </c>
      <c r="AG26" s="1273" t="s">
        <v>545</v>
      </c>
      <c r="AM26" s="299" t="s">
        <v>548</v>
      </c>
      <c r="AO26" s="299" t="s">
        <v>547</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МУП ЖКХ "Родник"</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8491"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8491" customFormat="1" customHeight="1" ht="18.75" hidden="1">
      <c r="A34" s="1361"/>
      <c r="B34" s="1361"/>
      <c r="C34" s="1361"/>
      <c r="D34" s="1361"/>
      <c r="E34" s="1361"/>
      <c r="F34" s="1361"/>
      <c r="G34" s="1361"/>
      <c r="H34" s="1361"/>
      <c r="I34" s="1361"/>
      <c r="J34" s="1361"/>
      <c r="K34" s="1361"/>
      <c r="L34" s="1361"/>
      <c r="M34" s="1493"/>
      <c r="N34" s="1361"/>
      <c r="O34" s="1361"/>
      <c r="P34" s="1361"/>
      <c r="U34" s="2363" t="s">
        <v>549</v>
      </c>
      <c r="V34" s="2363"/>
      <c r="W34" s="1485"/>
      <c r="X34" s="2377" t="str">
        <f>IF(TITLE_DATE_PR_CHANGE="",IF(TITLE_DATE_PR="","",TITLE_DATE_PR),TITLE_DATE_PR_CHANGE)</f>
        <v>45586</v>
      </c>
      <c r="Y34" s="2377"/>
      <c r="Z34" s="2377"/>
      <c r="AA34" s="2377"/>
      <c r="AB34" s="2377"/>
      <c r="AC34" s="2377"/>
      <c r="AD34" s="2377"/>
      <c r="AE34" s="2377"/>
      <c r="AF34" s="439"/>
      <c r="AG34" s="2377" t="str">
        <f>IF(TITLE_DATE_PR_CHANGE="",IF(TITLE_DATE_PR="","",TITLE_DATE_PR),TITLE_DATE_PR_CHANGE)</f>
        <v>45586</v>
      </c>
      <c r="AH34" s="2377"/>
      <c r="AI34" s="2377"/>
      <c r="AJ34" s="2377"/>
      <c r="AK34" s="2377"/>
      <c r="AL34" s="2377"/>
      <c r="AM34" s="2377"/>
      <c r="AN34" s="2377"/>
      <c r="AO34" s="439"/>
      <c r="AP34" s="439"/>
      <c r="AQ34" s="393"/>
      <c r="AR34" s="481"/>
      <c r="AS34" s="481"/>
      <c r="AT34" s="481"/>
      <c r="AU34" s="481"/>
      <c r="AV34" s="481"/>
      <c r="AW34" s="531">
        <v>0</v>
      </c>
    </row>
    <row s="8491" customFormat="1" customHeight="1" ht="18.75" hidden="1">
      <c r="A35" s="1361"/>
      <c r="B35" s="1361"/>
      <c r="C35" s="1361"/>
      <c r="D35" s="1361"/>
      <c r="E35" s="1361"/>
      <c r="F35" s="1361"/>
      <c r="G35" s="1361"/>
      <c r="H35" s="1361"/>
      <c r="I35" s="1361"/>
      <c r="J35" s="1361"/>
      <c r="K35" s="1361"/>
      <c r="L35" s="1361"/>
      <c r="M35" s="1493"/>
      <c r="N35" s="1361"/>
      <c r="O35" s="1361"/>
      <c r="P35" s="1361"/>
      <c r="U35" s="2363" t="s">
        <v>550</v>
      </c>
      <c r="V35" s="2363"/>
      <c r="W35" s="1485"/>
      <c r="X35" s="2364" t="str">
        <f>IF(TITLE_NUMBER_PR_CHANGE="",IF(TITLE_NUMBER_PR="","",TITLE_NUMBER_PR),TITLE_NUMBER_PR_CHANGE)</f>
        <v>1577</v>
      </c>
      <c r="Y35" s="2364"/>
      <c r="Z35" s="2364"/>
      <c r="AA35" s="2364"/>
      <c r="AB35" s="2364"/>
      <c r="AC35" s="2364"/>
      <c r="AD35" s="2364"/>
      <c r="AE35" s="2364"/>
      <c r="AF35" s="439"/>
      <c r="AG35" s="2364" t="str">
        <f>IF(TITLE_NUMBER_PR_CHANGE="",IF(TITLE_NUMBER_PR="","",TITLE_NUMBER_PR),TITLE_NUMBER_PR_CHANGE)</f>
        <v>1577</v>
      </c>
      <c r="AH35" s="2364"/>
      <c r="AI35" s="2364"/>
      <c r="AJ35" s="2364"/>
      <c r="AK35" s="2364"/>
      <c r="AL35" s="2364"/>
      <c r="AM35" s="2364"/>
      <c r="AN35" s="2364"/>
      <c r="AO35" s="439"/>
      <c r="AP35" s="439"/>
      <c r="AQ35" s="393"/>
      <c r="AR35" s="481"/>
      <c r="AS35" s="481"/>
      <c r="AT35" s="481"/>
      <c r="AU35" s="481"/>
      <c r="AV35" s="481"/>
      <c r="AW35" s="531">
        <v>0</v>
      </c>
    </row>
    <row s="8491"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8491" customFormat="1" customHeight="1" ht="18.75">
      <c r="A38" s="1361"/>
      <c r="B38" s="1361"/>
      <c r="C38" s="1361"/>
      <c r="D38" s="1361"/>
      <c r="E38" s="1361"/>
      <c r="F38" s="1361"/>
      <c r="G38" s="1361"/>
      <c r="H38" s="1361"/>
      <c r="I38" s="1361"/>
      <c r="J38" s="1361"/>
      <c r="K38" s="1361"/>
      <c r="L38" s="1361"/>
      <c r="M38" s="1493"/>
      <c r="N38" s="1361"/>
      <c r="O38" s="1361"/>
      <c r="P38" s="1361"/>
      <c r="U38" s="2363" t="s">
        <v>551</v>
      </c>
      <c r="V38" s="2363"/>
      <c r="W38" s="1485"/>
      <c r="X38" s="2377" t="str">
        <f>IF(TITLE_DATE_PR_CHANGE="",IF(TITLE_DATE_PR="","",TITLE_DATE_PR),TITLE_DATE_PR_CHANGE)</f>
        <v>45586</v>
      </c>
      <c r="Y38" s="2377"/>
      <c r="Z38" s="2377"/>
      <c r="AA38" s="2377"/>
      <c r="AB38" s="2377"/>
      <c r="AC38" s="2377"/>
      <c r="AD38" s="2377"/>
      <c r="AE38" s="2377"/>
      <c r="AF38" s="439"/>
      <c r="AG38" s="2377" t="str">
        <f>IF(TITLE_DATE_PR_CHANGE="",IF(TITLE_DATE_PR="","",TITLE_DATE_PR),TITLE_DATE_PR_CHANGE)</f>
        <v>45586</v>
      </c>
      <c r="AH38" s="2377"/>
      <c r="AI38" s="2377"/>
      <c r="AJ38" s="2377"/>
      <c r="AK38" s="2377"/>
      <c r="AL38" s="2377"/>
      <c r="AM38" s="2377"/>
      <c r="AN38" s="2377"/>
      <c r="AO38" s="439"/>
      <c r="AP38" s="439"/>
      <c r="AQ38" s="393"/>
      <c r="AR38" s="481"/>
      <c r="AS38" s="481"/>
      <c r="AT38" s="481"/>
      <c r="AU38" s="481"/>
      <c r="AV38" s="481"/>
      <c r="AW38" s="531">
        <v>0</v>
      </c>
    </row>
    <row s="8491" customFormat="1" customHeight="1" ht="18.75">
      <c r="A39" s="1361"/>
      <c r="B39" s="1361"/>
      <c r="C39" s="1361"/>
      <c r="D39" s="1361"/>
      <c r="E39" s="1361"/>
      <c r="F39" s="1361"/>
      <c r="G39" s="1361"/>
      <c r="H39" s="1361"/>
      <c r="I39" s="1361"/>
      <c r="J39" s="1361"/>
      <c r="K39" s="1361"/>
      <c r="L39" s="1361"/>
      <c r="M39" s="1493"/>
      <c r="N39" s="1361"/>
      <c r="O39" s="1361"/>
      <c r="P39" s="1361"/>
      <c r="U39" s="2363" t="s">
        <v>552</v>
      </c>
      <c r="V39" s="2363"/>
      <c r="W39" s="1485"/>
      <c r="X39" s="2364" t="str">
        <f>IF(TITLE_NUMBER_PR_CHANGE="",IF(TITLE_NUMBER_PR="","",TITLE_NUMBER_PR),TITLE_NUMBER_PR_CHANGE)</f>
        <v>1577</v>
      </c>
      <c r="Y39" s="2364"/>
      <c r="Z39" s="2364"/>
      <c r="AA39" s="2364"/>
      <c r="AB39" s="2364"/>
      <c r="AC39" s="2364"/>
      <c r="AD39" s="2364"/>
      <c r="AE39" s="2364"/>
      <c r="AF39" s="439"/>
      <c r="AG39" s="2364" t="str">
        <f>IF(TITLE_NUMBER_PR_CHANGE="",IF(TITLE_NUMBER_PR="","",TITLE_NUMBER_PR),TITLE_NUMBER_PR_CHANGE)</f>
        <v>1577</v>
      </c>
      <c r="AH39" s="2364"/>
      <c r="AI39" s="2364"/>
      <c r="AJ39" s="2364"/>
      <c r="AK39" s="2364"/>
      <c r="AL39" s="2364"/>
      <c r="AM39" s="2364"/>
      <c r="AN39" s="2364"/>
      <c r="AO39" s="439"/>
      <c r="AP39" s="439"/>
      <c r="AQ39" s="393"/>
      <c r="AR39" s="481"/>
      <c r="AS39" s="481"/>
      <c r="AT39" s="481"/>
      <c r="AU39" s="481"/>
      <c r="AV39" s="481"/>
      <c r="AW39" s="531">
        <v>0</v>
      </c>
    </row>
    <row s="8491"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553</v>
      </c>
      <c r="AG40" s="439"/>
      <c r="AH40" s="439"/>
      <c r="AI40" s="439"/>
      <c r="AJ40" s="439"/>
      <c r="AK40" s="439"/>
      <c r="AL40" s="439"/>
      <c r="AM40" s="439"/>
      <c r="AN40" s="439"/>
      <c r="AO40" s="391" t="s">
        <v>553</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428</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429</v>
      </c>
      <c r="AW42" s="1268">
        <v>14</v>
      </c>
    </row>
    <row customHeight="1" ht="14.699999999999998">
      <c r="R43" s="489"/>
      <c r="S43" s="489"/>
      <c r="T43" s="489"/>
      <c r="U43" s="2386" t="s">
        <v>88</v>
      </c>
      <c r="V43" s="2322" t="s">
        <v>554</v>
      </c>
      <c r="W43" s="414"/>
      <c r="X43" s="2387" t="s">
        <v>555</v>
      </c>
      <c r="Y43" s="2404"/>
      <c r="Z43" s="2404"/>
      <c r="AA43" s="2404"/>
      <c r="AB43" s="2404"/>
      <c r="AC43" s="2388"/>
      <c r="AD43" s="2388"/>
      <c r="AE43" s="2389"/>
      <c r="AF43" s="2390" t="s">
        <v>556</v>
      </c>
      <c r="AG43" s="2387" t="s">
        <v>555</v>
      </c>
      <c r="AH43" s="2404"/>
      <c r="AI43" s="2404"/>
      <c r="AJ43" s="2404"/>
      <c r="AK43" s="2404"/>
      <c r="AL43" s="2388"/>
      <c r="AM43" s="2388"/>
      <c r="AN43" s="2389"/>
      <c r="AO43" s="2390" t="s">
        <v>557</v>
      </c>
      <c r="AP43" s="2393" t="s">
        <v>558</v>
      </c>
      <c r="AQ43" s="2240"/>
      <c r="AW43" s="1268">
        <v>14</v>
      </c>
    </row>
    <row customHeight="1" ht="35.699999999999996">
      <c r="R44" s="489"/>
      <c r="S44" s="489"/>
      <c r="T44" s="489"/>
      <c r="U44" s="2386"/>
      <c r="V44" s="2322"/>
      <c r="W44" s="1144"/>
      <c r="X44" s="2407" t="s">
        <v>580</v>
      </c>
      <c r="Y44" s="2425" t="s">
        <v>581</v>
      </c>
      <c r="Z44" s="2425"/>
      <c r="AA44" s="2425"/>
      <c r="AB44" s="2425"/>
      <c r="AC44" s="2407" t="s">
        <v>562</v>
      </c>
      <c r="AD44" s="2724"/>
      <c r="AE44" s="2427"/>
      <c r="AF44" s="2391"/>
      <c r="AG44" s="2407" t="s">
        <v>580</v>
      </c>
      <c r="AH44" s="2425" t="s">
        <v>581</v>
      </c>
      <c r="AI44" s="2425"/>
      <c r="AJ44" s="2425"/>
      <c r="AK44" s="2425"/>
      <c r="AL44" s="2407" t="s">
        <v>562</v>
      </c>
      <c r="AM44" s="2724"/>
      <c r="AN44" s="2427"/>
      <c r="AO44" s="2391"/>
      <c r="AP44" s="2394"/>
      <c r="AQ44" s="2240"/>
      <c r="AW44" s="1268">
        <v>34</v>
      </c>
    </row>
    <row customHeight="1" ht="14.699999999999998">
      <c r="R45" s="489"/>
      <c r="S45" s="489"/>
      <c r="T45" s="489"/>
      <c r="U45" s="2386"/>
      <c r="V45" s="2322"/>
      <c r="W45" s="1144"/>
      <c r="X45" s="2438"/>
      <c r="Y45" s="2430" t="s">
        <v>582</v>
      </c>
      <c r="Z45" s="2383" t="s">
        <v>583</v>
      </c>
      <c r="AA45" s="2433"/>
      <c r="AB45" s="2384"/>
      <c r="AC45" s="2408"/>
      <c r="AD45" s="2725"/>
      <c r="AE45" s="2429"/>
      <c r="AF45" s="2391"/>
      <c r="AG45" s="2438"/>
      <c r="AH45" s="2430" t="s">
        <v>582</v>
      </c>
      <c r="AI45" s="2383" t="s">
        <v>583</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584</v>
      </c>
      <c r="AA46" s="2383" t="s">
        <v>585</v>
      </c>
      <c r="AB46" s="2384"/>
      <c r="AC46" s="2430" t="s">
        <v>572</v>
      </c>
      <c r="AD46" s="2434" t="s">
        <v>573</v>
      </c>
      <c r="AE46" s="2435"/>
      <c r="AF46" s="2391"/>
      <c r="AG46" s="2438"/>
      <c r="AH46" s="2431"/>
      <c r="AI46" s="2430" t="s">
        <v>584</v>
      </c>
      <c r="AJ46" s="2383" t="s">
        <v>585</v>
      </c>
      <c r="AK46" s="2384"/>
      <c r="AL46" s="2430" t="s">
        <v>572</v>
      </c>
      <c r="AM46" s="2434" t="s">
        <v>573</v>
      </c>
      <c r="AN46" s="2435"/>
      <c r="AO46" s="2391"/>
      <c r="AP46" s="2394"/>
      <c r="AQ46" s="2240"/>
      <c r="AW46" s="1268">
        <v>26</v>
      </c>
    </row>
    <row customHeight="1" ht="65.25">
      <c r="A47" s="1372"/>
      <c r="B47" s="1372" t="s">
        <v>210</v>
      </c>
      <c r="C47" s="1372" t="s">
        <v>211</v>
      </c>
      <c r="D47" s="1372" t="s">
        <v>212</v>
      </c>
      <c r="E47" s="1423" t="s">
        <v>563</v>
      </c>
      <c r="F47" s="1423" t="s">
        <v>564</v>
      </c>
      <c r="G47" s="1423" t="s">
        <v>565</v>
      </c>
      <c r="H47" s="1423" t="s">
        <v>566</v>
      </c>
      <c r="I47" s="1423" t="s">
        <v>567</v>
      </c>
      <c r="J47" s="1423" t="s">
        <v>568</v>
      </c>
      <c r="K47" s="1423" t="s">
        <v>569</v>
      </c>
      <c r="L47" s="1423" t="s">
        <v>586</v>
      </c>
      <c r="M47" s="1423" t="s">
        <v>544</v>
      </c>
      <c r="R47" s="489"/>
      <c r="S47" s="489"/>
      <c r="T47" s="489"/>
      <c r="U47" s="2386"/>
      <c r="V47" s="2322"/>
      <c r="W47" s="415"/>
      <c r="X47" s="2408"/>
      <c r="Y47" s="2432"/>
      <c r="Z47" s="2432"/>
      <c r="AA47" s="1335" t="s">
        <v>587</v>
      </c>
      <c r="AB47" s="1335" t="s">
        <v>588</v>
      </c>
      <c r="AC47" s="2432"/>
      <c r="AD47" s="2436"/>
      <c r="AE47" s="2437"/>
      <c r="AF47" s="2392"/>
      <c r="AG47" s="2408"/>
      <c r="AH47" s="2432"/>
      <c r="AI47" s="2432"/>
      <c r="AJ47" s="1335" t="s">
        <v>587</v>
      </c>
      <c r="AK47" s="1335" t="s">
        <v>588</v>
      </c>
      <c r="AL47" s="2432"/>
      <c r="AM47" s="2436"/>
      <c r="AN47" s="2437"/>
      <c r="AO47" s="2392"/>
      <c r="AP47" s="2395"/>
      <c r="AQ47" s="2240"/>
      <c r="AW47" s="1268">
        <v>62</v>
      </c>
    </row>
    <row s="8962"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187</v>
      </c>
      <c r="V48" s="1368" t="s">
        <v>104</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243</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198</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243</v>
      </c>
      <c r="B50" s="1380" t="s">
        <v>244</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525</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526</v>
      </c>
      <c r="AS50" s="613"/>
      <c r="AT50" s="613" t="str">
        <f>IF(V50="","",V50)</f>
        <v>Территория действия тарифа</v>
      </c>
      <c r="AU50" s="613"/>
      <c r="AV50" s="613"/>
      <c r="AW50" s="1268">
        <v>21</v>
      </c>
    </row>
    <row customHeight="1" ht="24">
      <c r="A51" s="1380" t="s">
        <v>243</v>
      </c>
      <c r="B51" s="1380" t="s">
        <v>244</v>
      </c>
      <c r="C51" s="1380" t="s">
        <v>245</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527</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528</v>
      </c>
      <c r="AS51" s="613"/>
      <c r="AT51" s="613" t="str">
        <f>IF(V51="","",V51)</f>
        <v>Наименование системы теплоснабжения </v>
      </c>
      <c r="AU51" s="613"/>
      <c r="AV51" s="613"/>
      <c r="AW51" s="1268">
        <v>23</v>
      </c>
    </row>
    <row customHeight="1" ht="22.049999999999997">
      <c r="A52" s="1380" t="s">
        <v>243</v>
      </c>
      <c r="B52" s="1380" t="s">
        <v>244</v>
      </c>
      <c r="C52" s="1380" t="s">
        <v>245</v>
      </c>
      <c r="D52" s="1380" t="s">
        <v>246</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529</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530</v>
      </c>
      <c r="AS52" s="613"/>
      <c r="AT52" s="613" t="str">
        <f>IF(V52="","",V52)</f>
        <v>Источник тепловой энергии  </v>
      </c>
      <c r="AU52" s="613"/>
      <c r="AV52" s="613"/>
      <c r="AW52" s="1268">
        <v>21</v>
      </c>
    </row>
    <row s="8355" customFormat="1" customHeight="1" ht="0">
      <c r="A53" s="1488" t="s">
        <v>243</v>
      </c>
      <c r="B53" s="1488" t="s">
        <v>244</v>
      </c>
      <c r="C53" s="1488" t="s">
        <v>245</v>
      </c>
      <c r="D53" s="1488" t="s">
        <v>246</v>
      </c>
      <c r="E53" s="2403"/>
      <c r="F53" s="2403"/>
      <c r="G53" s="2403"/>
      <c r="H53" s="2424"/>
      <c r="I53" s="2240" t="str">
        <f>U52&amp;".1"</f>
        <v>....1</v>
      </c>
      <c r="J53" s="1488"/>
      <c r="K53" s="1488"/>
      <c r="L53" s="1488"/>
      <c r="M53" s="1494" t="s">
        <v>531</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243</v>
      </c>
      <c r="B54" s="1380" t="s">
        <v>244</v>
      </c>
      <c r="C54" s="1380" t="s">
        <v>245</v>
      </c>
      <c r="D54" s="1380" t="s">
        <v>246</v>
      </c>
      <c r="E54" s="2403"/>
      <c r="F54" s="2403"/>
      <c r="G54" s="2403"/>
      <c r="H54" s="2424"/>
      <c r="I54" s="2214"/>
      <c r="J54" s="2240" t="str">
        <f>I53&amp;".1"</f>
        <v>....1.1</v>
      </c>
      <c r="K54" s="1380"/>
      <c r="L54" s="1380"/>
      <c r="M54" s="1423" t="s">
        <v>534</v>
      </c>
      <c r="Q54" s="2370"/>
      <c r="R54" s="2370">
        <v>1</v>
      </c>
      <c r="S54" s="631"/>
      <c r="T54" s="470"/>
      <c r="U54" s="1449" t="str">
        <f>$J54</f>
        <v>....1.1</v>
      </c>
      <c r="V54" s="399" t="s">
        <v>535</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536</v>
      </c>
      <c r="AS54" s="613"/>
      <c r="AT54" s="613" t="str">
        <f>IF(V54="","",V54)</f>
        <v>Группа потребителей</v>
      </c>
      <c r="AU54" s="613"/>
      <c r="AV54" s="613"/>
      <c r="AW54" s="1268">
        <v>21</v>
      </c>
    </row>
    <row customHeight="1" ht="22.049999999999997">
      <c r="A55" s="1380" t="s">
        <v>243</v>
      </c>
      <c r="B55" s="1380" t="s">
        <v>244</v>
      </c>
      <c r="C55" s="1380" t="s">
        <v>245</v>
      </c>
      <c r="D55" s="1380" t="s">
        <v>246</v>
      </c>
      <c r="E55" s="2403"/>
      <c r="F55" s="2403"/>
      <c r="G55" s="2403"/>
      <c r="H55" s="2424"/>
      <c r="I55" s="2214"/>
      <c r="J55" s="2214"/>
      <c r="K55" s="2240" t="str">
        <f>J54&amp;".1"</f>
        <v>....1.1.1</v>
      </c>
      <c r="L55" s="252"/>
      <c r="M55" s="1423" t="s">
        <v>537</v>
      </c>
      <c r="Q55" s="2370"/>
      <c r="R55" s="2370"/>
      <c r="S55" s="631">
        <v>1</v>
      </c>
      <c r="T55" s="470"/>
      <c r="U55" s="1449" t="str">
        <f>$K55</f>
        <v>....1.1.1</v>
      </c>
      <c r="V55" s="1460"/>
      <c r="W55" s="413"/>
      <c r="X55" s="864"/>
      <c r="Y55" s="864"/>
      <c r="Z55" s="864"/>
      <c r="AA55" s="864"/>
      <c r="AB55" s="1518"/>
      <c r="AC55" s="2378"/>
      <c r="AD55" s="2220" t="s">
        <v>66</v>
      </c>
      <c r="AE55" s="2378"/>
      <c r="AF55" s="2220" t="s">
        <v>66</v>
      </c>
      <c r="AG55" s="1520"/>
      <c r="AH55" s="864"/>
      <c r="AI55" s="864"/>
      <c r="AJ55" s="864"/>
      <c r="AK55" s="1370"/>
      <c r="AL55" s="2378"/>
      <c r="AM55" s="2220" t="s">
        <v>66</v>
      </c>
      <c r="AN55" s="2378"/>
      <c r="AO55" s="2220" t="s">
        <v>66</v>
      </c>
      <c r="AP55" s="1461"/>
      <c r="AQ55" s="1420" t="s">
        <v>577</v>
      </c>
      <c r="AR55" s="624">
        <f>STRCHECKDATE(X57:AP57)</f>
      </c>
      <c r="AS55" s="613"/>
      <c r="AT55" s="613" t="str">
        <f>IF(V55="","",V55)</f>
        <v/>
      </c>
      <c r="AU55" s="613"/>
      <c r="AV55" s="613"/>
      <c r="AW55" s="1268">
        <v>21</v>
      </c>
    </row>
    <row customHeight="1" ht="11.549999999999999">
      <c r="A56" s="1380" t="s">
        <v>243</v>
      </c>
      <c r="B56" s="1380" t="s">
        <v>244</v>
      </c>
      <c r="C56" s="1380" t="s">
        <v>245</v>
      </c>
      <c r="D56" s="1380" t="s">
        <v>246</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578</v>
      </c>
      <c r="AR56" s="624">
        <f>STRCHECKDATE(X58:AP58)</f>
      </c>
      <c r="AS56" s="613"/>
      <c r="AT56" s="613" t="str">
        <f>IF(V56="","",V56)</f>
        <v/>
      </c>
      <c r="AU56" s="613"/>
      <c r="AV56" s="613"/>
      <c r="AW56" s="1268">
        <v>11</v>
      </c>
    </row>
    <row customHeight="1" ht="0">
      <c r="A57" s="1380" t="s">
        <v>243</v>
      </c>
      <c r="B57" s="1380" t="s">
        <v>244</v>
      </c>
      <c r="C57" s="1380" t="s">
        <v>245</v>
      </c>
      <c r="D57" s="1380" t="s">
        <v>246</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243</v>
      </c>
      <c r="B58" s="1380" t="s">
        <v>244</v>
      </c>
      <c r="C58" s="1380" t="s">
        <v>245</v>
      </c>
      <c r="D58" s="1380" t="s">
        <v>246</v>
      </c>
      <c r="E58" s="2403"/>
      <c r="F58" s="2403"/>
      <c r="G58" s="2403"/>
      <c r="H58" s="2424"/>
      <c r="I58" s="2214"/>
      <c r="J58" s="2214"/>
      <c r="K58" s="2240"/>
      <c r="L58" s="1380"/>
      <c r="M58" s="1423"/>
      <c r="Q58" s="2370"/>
      <c r="R58" s="2370"/>
      <c r="S58" s="1444"/>
      <c r="T58" s="469"/>
      <c r="U58" s="1391"/>
      <c r="V58" s="401" t="s">
        <v>579</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243</v>
      </c>
      <c r="B59" s="1380" t="s">
        <v>244</v>
      </c>
      <c r="C59" s="1380" t="s">
        <v>245</v>
      </c>
      <c r="D59" s="1380" t="s">
        <v>246</v>
      </c>
      <c r="E59" s="2403"/>
      <c r="F59" s="2403"/>
      <c r="G59" s="2403"/>
      <c r="H59" s="2424"/>
      <c r="I59" s="2214"/>
      <c r="J59" s="2240"/>
      <c r="K59" s="1380"/>
      <c r="L59" s="1380"/>
      <c r="M59" s="1423"/>
      <c r="Q59" s="2370"/>
      <c r="R59" s="2370"/>
      <c r="S59" s="1444"/>
      <c r="T59" s="469"/>
      <c r="U59" s="1391"/>
      <c r="V59" s="400" t="s">
        <v>539</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243</v>
      </c>
      <c r="B60" s="1380" t="s">
        <v>244</v>
      </c>
      <c r="C60" s="1380" t="s">
        <v>245</v>
      </c>
      <c r="D60" s="1380" t="s">
        <v>246</v>
      </c>
      <c r="E60" s="2403"/>
      <c r="F60" s="2403"/>
      <c r="G60" s="2403"/>
      <c r="H60" s="2424"/>
      <c r="I60" s="2240"/>
      <c r="J60" s="1380"/>
      <c r="K60" s="1380"/>
      <c r="L60" s="1380"/>
      <c r="M60" s="1423"/>
      <c r="Q60" s="2370"/>
      <c r="R60" s="1444"/>
      <c r="S60" s="1444"/>
      <c r="T60" s="469"/>
      <c r="U60" s="1391"/>
      <c r="V60" s="478" t="s">
        <v>540</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243</v>
      </c>
      <c r="B61" s="1380" t="s">
        <v>244</v>
      </c>
      <c r="C61" s="1380" t="s">
        <v>245</v>
      </c>
      <c r="D61" s="1380" t="s">
        <v>246</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8355" customFormat="1" customHeight="1" ht="0">
      <c r="A62" s="1488" t="s">
        <v>243</v>
      </c>
      <c r="B62" s="1488" t="s">
        <v>244</v>
      </c>
      <c r="C62" s="1488" t="s">
        <v>245</v>
      </c>
      <c r="D62" s="1487"/>
      <c r="E62" s="2403"/>
      <c r="F62" s="2403"/>
      <c r="G62" s="2402"/>
      <c r="H62" s="1487"/>
      <c r="I62" s="1487"/>
      <c r="J62" s="1487"/>
      <c r="K62" s="1487"/>
      <c r="L62" s="1487"/>
      <c r="M62" s="1490"/>
      <c r="N62" s="1491"/>
      <c r="O62" s="1491"/>
      <c r="P62" s="464"/>
      <c r="Q62" s="1429"/>
      <c r="R62" s="1430"/>
      <c r="S62" s="1429"/>
      <c r="T62" s="1429"/>
      <c r="U62" s="1435"/>
      <c r="V62" s="1438" t="s">
        <v>542</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8355" customFormat="1" customHeight="1" ht="0">
      <c r="A63" s="1488" t="s">
        <v>243</v>
      </c>
      <c r="B63" s="1488" t="s">
        <v>244</v>
      </c>
      <c r="C63" s="1487"/>
      <c r="D63" s="1487"/>
      <c r="E63" s="2403"/>
      <c r="F63" s="2402"/>
      <c r="G63" s="1487"/>
      <c r="H63" s="1487"/>
      <c r="I63" s="1487"/>
      <c r="J63" s="1487"/>
      <c r="K63" s="1487"/>
      <c r="L63" s="1487"/>
      <c r="M63" s="1490"/>
      <c r="N63" s="1492"/>
      <c r="O63" s="1492"/>
      <c r="P63" s="464"/>
      <c r="Q63" s="1429"/>
      <c r="R63" s="1430"/>
      <c r="S63" s="1429"/>
      <c r="T63" s="1429"/>
      <c r="U63" s="1435"/>
      <c r="V63" s="1438" t="s">
        <v>298</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8355" customFormat="1" customHeight="1" ht="0">
      <c r="A64" s="1488" t="s">
        <v>243</v>
      </c>
      <c r="B64" s="1488"/>
      <c r="C64" s="1488"/>
      <c r="D64" s="1488"/>
      <c r="E64" s="2402"/>
      <c r="F64" s="1488"/>
      <c r="G64" s="1488"/>
      <c r="H64" s="1488"/>
      <c r="I64" s="1488"/>
      <c r="J64" s="1488"/>
      <c r="K64" s="1488"/>
      <c r="L64" s="1488"/>
      <c r="M64" s="1494"/>
      <c r="N64" s="1492"/>
      <c r="O64" s="1492"/>
      <c r="P64" s="464"/>
      <c r="Q64" s="493"/>
      <c r="R64" s="1457"/>
      <c r="S64" s="493"/>
      <c r="T64" s="493"/>
      <c r="U64" s="1435"/>
      <c r="V64" s="1438" t="s">
        <v>355</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8355"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356</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82</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2F0B09-9E85-39D7-56CB-92D2B3D4D9D3}"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8354" width="10.57421875" hidden="1"/>
    <col min="2" max="2" style="8354" width="11.00390625" hidden="1" customWidth="1"/>
    <col min="3" max="3" style="8354" width="10.57421875" hidden="1"/>
    <col min="4" max="4" style="8354" width="11.8515625" hidden="1" customWidth="1"/>
    <col min="5" max="5" style="8354" width="10.00390625" hidden="1" customWidth="1"/>
    <col min="6" max="6" style="8354" width="8.7109375" hidden="1" customWidth="1"/>
    <col min="7" max="7" style="8354" width="7.57421875" hidden="1" customWidth="1"/>
    <col min="8" max="8" style="8354" width="11.421875" hidden="1" customWidth="1"/>
    <col min="9" max="9" style="8354" width="12.00390625" hidden="1" customWidth="1"/>
    <col min="10" max="10" style="8354" width="9.8515625" hidden="1" customWidth="1"/>
    <col min="11" max="11" style="8354" width="11.421875" hidden="1" customWidth="1"/>
    <col min="12" max="12" style="9204" width="19.140625" hidden="1" customWidth="1"/>
    <col min="13" max="14" style="9205" width="12.28125" hidden="1" customWidth="1"/>
    <col min="15" max="15" style="9205" width="23.421875" hidden="1" customWidth="1"/>
    <col min="16" max="16" style="9205" width="3.00390625" customWidth="1"/>
    <col min="17" max="17" style="9390" width="3.00390625" customWidth="1"/>
    <col min="18" max="18" style="9207" width="3.00390625" customWidth="1"/>
    <col min="19" max="19" style="9208" width="12.00390625" customWidth="1"/>
    <col min="20" max="20" style="8273" width="31.00390625" customWidth="1"/>
    <col min="21" max="21" style="8273" width="0.140625" customWidth="1"/>
    <col min="22" max="23" style="8273" width="21.7109375" hidden="1" customWidth="1"/>
    <col min="24" max="24" style="8273" width="11.7109375" hidden="1" customWidth="1"/>
    <col min="25" max="25" style="8273" width="3.7109375" hidden="1" customWidth="1"/>
    <col min="26" max="26" style="8273" width="11.7109375" hidden="1" customWidth="1"/>
    <col min="27" max="27" style="8273" width="8.57421875" hidden="1" customWidth="1"/>
    <col min="28" max="28" style="8273" width="5.421875" customWidth="1"/>
    <col min="29" max="30" style="8273" width="3.00390625" customWidth="1"/>
    <col min="31" max="31" style="8273" width="24.00390625" customWidth="1"/>
    <col min="32" max="32" style="8273" width="3.7109375" customWidth="1"/>
    <col min="33" max="34" style="8273" width="3.00390625" customWidth="1"/>
    <col min="35" max="35" style="8273" width="24.00390625" customWidth="1"/>
    <col min="36" max="36" style="8273" width="3.7109375" customWidth="1"/>
    <col min="37" max="38" style="8273" width="3.00390625" customWidth="1"/>
    <col min="39" max="39" style="8273" width="18.00390625" customWidth="1"/>
    <col min="40" max="41" style="8273" width="21.00390625" customWidth="1"/>
    <col min="42" max="42" style="8273" width="11.00390625" customWidth="1"/>
    <col min="43" max="43" style="8273" width="3.7109375" customWidth="1"/>
    <col min="44" max="44" style="8273" width="11.00390625" customWidth="1"/>
    <col min="45" max="45" style="8273" width="8.57421875" hidden="1" customWidth="1"/>
    <col min="46" max="46" style="8273" width="4.00390625" customWidth="1"/>
    <col min="47" max="47" style="8273" width="115.00390625" customWidth="1"/>
    <col min="48" max="52" style="8355" width="10.00390625" customWidth="1"/>
    <col min="53" max="53" style="8273"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198</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524</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525</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526</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527</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528</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529</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530</v>
      </c>
      <c r="AW5" s="613"/>
      <c r="AX5" s="613" t="str">
        <f>IF(T5="","",T5)</f>
        <v>Источник тепловой энергии  </v>
      </c>
      <c r="AY5" s="613"/>
      <c r="AZ5" s="613"/>
      <c r="BA5" s="1268">
        <v>0</v>
      </c>
    </row>
    <row s="8355" customFormat="1" customHeight="1" ht="0.75" hidden="1">
      <c r="A6" s="1456"/>
      <c r="B6" s="1456"/>
      <c r="C6" s="1456"/>
      <c r="D6" s="1456"/>
      <c r="E6" s="2372"/>
      <c r="F6" s="2372"/>
      <c r="G6" s="2372"/>
      <c r="H6" s="2372"/>
      <c r="I6" s="2369">
        <f>S5&amp;".1"</f>
      </c>
      <c r="J6" s="1456"/>
      <c r="K6" s="1456"/>
      <c r="L6" s="1459" t="s">
        <v>531</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8355"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66</v>
      </c>
      <c r="Z8" s="2378"/>
      <c r="AA8" s="2220" t="s">
        <v>66</v>
      </c>
      <c r="AB8" s="2220" t="s">
        <v>19</v>
      </c>
      <c r="AC8" s="2439"/>
      <c r="AD8" s="2318">
        <v>1</v>
      </c>
      <c r="AE8" s="2440"/>
      <c r="AF8" s="2220" t="s">
        <v>19</v>
      </c>
      <c r="AG8" s="2439"/>
      <c r="AH8" s="2318">
        <v>1</v>
      </c>
      <c r="AI8" s="2440"/>
      <c r="AJ8" s="2220" t="s">
        <v>19</v>
      </c>
      <c r="AK8" s="424"/>
      <c r="AL8" s="1450">
        <v>1</v>
      </c>
      <c r="AM8" s="1511"/>
      <c r="AN8" s="864"/>
      <c r="AO8" s="1370"/>
      <c r="AP8" s="1847"/>
      <c r="AQ8" s="1572" t="s">
        <v>66</v>
      </c>
      <c r="AR8" s="1847"/>
      <c r="AS8" s="1572" t="s">
        <v>66</v>
      </c>
      <c r="AT8" s="1461"/>
      <c r="AU8" s="2366" t="s">
        <v>589</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590</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591</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592</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593</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8355"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8355"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8355"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542</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8355"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298</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8355"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355</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66</v>
      </c>
      <c r="AR19" s="1849"/>
      <c r="AS19" s="1573" t="s">
        <v>66</v>
      </c>
      <c r="BA19" s="1268">
        <v>0</v>
      </c>
    </row>
    <row customHeight="1" ht="14.25" hidden="1">
      <c r="AV20" s="609"/>
      <c r="AW20" s="609"/>
      <c r="AX20" s="609"/>
      <c r="AY20" s="609"/>
      <c r="AZ20" s="609"/>
      <c r="BA20" s="1268">
        <v>0</v>
      </c>
    </row>
    <row customHeight="1" ht="14.25" hidden="1">
      <c r="O21" s="1480" t="s">
        <v>543</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9361" customFormat="1" customHeight="1" ht="14.25" hidden="1">
      <c r="M23" s="1621"/>
      <c r="N23" s="1621"/>
      <c r="O23" s="1622" t="s">
        <v>544</v>
      </c>
      <c r="P23" s="1621"/>
      <c r="Q23" s="1623"/>
      <c r="R23" s="1623"/>
      <c r="Y23" s="1620" t="s">
        <v>546</v>
      </c>
      <c r="AA23" s="1620" t="s">
        <v>547</v>
      </c>
      <c r="AB23" s="1620" t="s">
        <v>594</v>
      </c>
      <c r="AE23" s="1620" t="s">
        <v>595</v>
      </c>
      <c r="AF23" s="1620" t="s">
        <v>594</v>
      </c>
      <c r="AI23" s="1620" t="s">
        <v>596</v>
      </c>
      <c r="AJ23" s="1620" t="s">
        <v>594</v>
      </c>
      <c r="AM23" s="1620" t="s">
        <v>597</v>
      </c>
      <c r="AQ23" s="1620" t="s">
        <v>546</v>
      </c>
      <c r="AS23" s="1620" t="s">
        <v>547</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МУП ЖКХ "Родник"</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8491"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8491"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549</v>
      </c>
      <c r="T31" s="2363"/>
      <c r="U31" s="1485"/>
      <c r="V31" s="2377" t="str">
        <f>IF(TITLE_DATE_PR_CHANGE="",IF(TITLE_DATE_PR="","",TITLE_DATE_PR),TITLE_DATE_PR_CHANGE)</f>
        <v>45586</v>
      </c>
      <c r="W31" s="2377"/>
      <c r="X31" s="2377"/>
      <c r="Y31" s="2377"/>
      <c r="Z31" s="2377"/>
      <c r="AA31" s="439"/>
      <c r="AB31" s="2377" t="str">
        <f>IF(TITLE_DATE_PR_CHANGE="",IF(TITLE_DATE_PR="","",TITLE_DATE_PR),TITLE_DATE_PR_CHANGE)</f>
        <v>45586</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8491"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550</v>
      </c>
      <c r="T32" s="2363"/>
      <c r="U32" s="1485"/>
      <c r="V32" s="2364" t="str">
        <f>IF(TITLE_NUMBER_PR_CHANGE="",IF(TITLE_NUMBER_PR="","",TITLE_NUMBER_PR),TITLE_NUMBER_PR_CHANGE)</f>
        <v>1577</v>
      </c>
      <c r="W32" s="2364"/>
      <c r="X32" s="2364"/>
      <c r="Y32" s="2364"/>
      <c r="Z32" s="2364"/>
      <c r="AA32" s="439"/>
      <c r="AB32" s="2364" t="str">
        <f>IF(TITLE_NUMBER_PR_CHANGE="",IF(TITLE_NUMBER_PR="","",TITLE_NUMBER_PR),TITLE_NUMBER_PR_CHANGE)</f>
        <v>1577</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8491"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8491" customFormat="1" customHeight="1" ht="18.75">
      <c r="A35" s="1481"/>
      <c r="B35" s="1481"/>
      <c r="C35" s="1481"/>
      <c r="D35" s="1481"/>
      <c r="E35" s="1481"/>
      <c r="F35" s="1481"/>
      <c r="G35" s="1481"/>
      <c r="H35" s="1481"/>
      <c r="I35" s="1481"/>
      <c r="J35" s="1481"/>
      <c r="K35" s="1481"/>
      <c r="L35" s="1482"/>
      <c r="M35" s="1481"/>
      <c r="N35" s="1481"/>
      <c r="O35" s="1481"/>
      <c r="P35" s="1481"/>
      <c r="Q35" s="1481"/>
      <c r="S35" s="2363" t="s">
        <v>549</v>
      </c>
      <c r="T35" s="2363"/>
      <c r="U35" s="1485"/>
      <c r="V35" s="2377" t="str">
        <f>IF(TITLE_DATE_PR_CHANGE="",IF(TITLE_DATE_PR="","",TITLE_DATE_PR),TITLE_DATE_PR_CHANGE)</f>
        <v>45586</v>
      </c>
      <c r="W35" s="2377"/>
      <c r="X35" s="2377"/>
      <c r="Y35" s="2377"/>
      <c r="Z35" s="2377"/>
      <c r="AA35" s="439"/>
      <c r="AB35" s="2377" t="str">
        <f>IF(TITLE_DATE_PR_CHANGE="",IF(TITLE_DATE_PR="","",TITLE_DATE_PR),TITLE_DATE_PR_CHANGE)</f>
        <v>45586</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8491" customFormat="1" customHeight="1" ht="18">
      <c r="A36" s="1481"/>
      <c r="B36" s="1481"/>
      <c r="C36" s="1481"/>
      <c r="D36" s="1481"/>
      <c r="E36" s="1481"/>
      <c r="F36" s="1481"/>
      <c r="G36" s="1481"/>
      <c r="H36" s="1481"/>
      <c r="I36" s="1481"/>
      <c r="J36" s="1481"/>
      <c r="K36" s="1481"/>
      <c r="L36" s="1482"/>
      <c r="M36" s="1481"/>
      <c r="N36" s="1481"/>
      <c r="O36" s="1481"/>
      <c r="P36" s="1481"/>
      <c r="Q36" s="1481"/>
      <c r="S36" s="2363" t="s">
        <v>550</v>
      </c>
      <c r="T36" s="2363"/>
      <c r="U36" s="1485"/>
      <c r="V36" s="2364" t="str">
        <f>IF(TITLE_NUMBER_PR_CHANGE="",IF(TITLE_NUMBER_PR="","",TITLE_NUMBER_PR),TITLE_NUMBER_PR_CHANGE)</f>
        <v>1577</v>
      </c>
      <c r="W36" s="2364"/>
      <c r="X36" s="2364"/>
      <c r="Y36" s="2364"/>
      <c r="Z36" s="2364"/>
      <c r="AA36" s="439"/>
      <c r="AB36" s="2364" t="str">
        <f>IF(TITLE_NUMBER_PR_CHANGE="",IF(TITLE_NUMBER_PR="","",TITLE_NUMBER_PR),TITLE_NUMBER_PR_CHANGE)</f>
        <v>1577</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8491"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553</v>
      </c>
      <c r="AB37" s="439"/>
      <c r="AC37" s="439"/>
      <c r="AD37" s="439"/>
      <c r="AE37" s="439"/>
      <c r="AF37" s="439"/>
      <c r="AG37" s="439"/>
      <c r="AH37" s="439"/>
      <c r="AI37" s="439"/>
      <c r="AJ37" s="439"/>
      <c r="AK37" s="439"/>
      <c r="AL37" s="439"/>
      <c r="AM37" s="439"/>
      <c r="AN37" s="439"/>
      <c r="AO37" s="439"/>
      <c r="AP37" s="439"/>
      <c r="AQ37" s="439"/>
      <c r="AR37" s="439"/>
      <c r="AS37" s="391" t="s">
        <v>553</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428</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429</v>
      </c>
      <c r="BA39" s="1268">
        <v>14</v>
      </c>
    </row>
    <row customHeight="1" ht="14.699999999999998">
      <c r="Q40" s="404"/>
      <c r="R40" s="489"/>
      <c r="S40" s="2386" t="s">
        <v>88</v>
      </c>
      <c r="T40" s="2322" t="s">
        <v>598</v>
      </c>
      <c r="U40" s="414"/>
      <c r="V40" s="2388"/>
      <c r="W40" s="2388"/>
      <c r="X40" s="2388"/>
      <c r="Y40" s="2388"/>
      <c r="Z40" s="2389"/>
      <c r="AA40" s="2449" t="s">
        <v>556</v>
      </c>
      <c r="AB40" s="2441" t="s">
        <v>599</v>
      </c>
      <c r="AC40" s="2404"/>
      <c r="AD40" s="2404"/>
      <c r="AE40" s="2442"/>
      <c r="AF40" s="2404" t="s">
        <v>600</v>
      </c>
      <c r="AG40" s="2404"/>
      <c r="AH40" s="2404"/>
      <c r="AI40" s="2442"/>
      <c r="AJ40" s="2441" t="s">
        <v>601</v>
      </c>
      <c r="AK40" s="2404"/>
      <c r="AL40" s="2404"/>
      <c r="AM40" s="2442"/>
      <c r="AN40" s="2441" t="s">
        <v>555</v>
      </c>
      <c r="AO40" s="2404"/>
      <c r="AP40" s="2388"/>
      <c r="AQ40" s="2388"/>
      <c r="AR40" s="2389"/>
      <c r="AS40" s="2390" t="s">
        <v>556</v>
      </c>
      <c r="AT40" s="2393" t="s">
        <v>558</v>
      </c>
      <c r="AU40" s="2240"/>
      <c r="BA40" s="1268">
        <v>14</v>
      </c>
    </row>
    <row customHeight="1" ht="35.699999999999996">
      <c r="Q41" s="404"/>
      <c r="R41" s="489"/>
      <c r="S41" s="2386"/>
      <c r="T41" s="2322"/>
      <c r="U41" s="1144"/>
      <c r="V41" s="2240" t="s">
        <v>602</v>
      </c>
      <c r="W41" s="2240"/>
      <c r="X41" s="2407" t="s">
        <v>562</v>
      </c>
      <c r="Y41" s="2426"/>
      <c r="Z41" s="2427"/>
      <c r="AA41" s="2450"/>
      <c r="AB41" s="2443"/>
      <c r="AC41" s="2444"/>
      <c r="AD41" s="2444"/>
      <c r="AE41" s="2445"/>
      <c r="AF41" s="2444"/>
      <c r="AG41" s="2444"/>
      <c r="AH41" s="2444"/>
      <c r="AI41" s="2445"/>
      <c r="AJ41" s="2443"/>
      <c r="AK41" s="2444"/>
      <c r="AL41" s="2444"/>
      <c r="AM41" s="2444"/>
      <c r="AN41" s="2240" t="s">
        <v>602</v>
      </c>
      <c r="AO41" s="2240"/>
      <c r="AP41" s="2426" t="s">
        <v>562</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210</v>
      </c>
      <c r="C43" s="1483" t="s">
        <v>211</v>
      </c>
      <c r="D43" s="1483" t="s">
        <v>212</v>
      </c>
      <c r="E43" s="1477" t="s">
        <v>563</v>
      </c>
      <c r="F43" s="1477" t="s">
        <v>564</v>
      </c>
      <c r="G43" s="1477" t="s">
        <v>565</v>
      </c>
      <c r="H43" s="1477" t="s">
        <v>566</v>
      </c>
      <c r="I43" s="1477" t="s">
        <v>567</v>
      </c>
      <c r="J43" s="1477" t="s">
        <v>568</v>
      </c>
      <c r="K43" s="1477" t="s">
        <v>569</v>
      </c>
      <c r="L43" s="1477" t="s">
        <v>544</v>
      </c>
      <c r="Q43" s="404"/>
      <c r="R43" s="489"/>
      <c r="S43" s="2386"/>
      <c r="T43" s="2322"/>
      <c r="U43" s="415"/>
      <c r="V43" s="1443" t="s">
        <v>603</v>
      </c>
      <c r="W43" s="1443" t="s">
        <v>604</v>
      </c>
      <c r="X43" s="1451" t="s">
        <v>572</v>
      </c>
      <c r="Y43" s="2383" t="s">
        <v>573</v>
      </c>
      <c r="Z43" s="2384"/>
      <c r="AA43" s="2451"/>
      <c r="AB43" s="2446"/>
      <c r="AC43" s="2447"/>
      <c r="AD43" s="2447"/>
      <c r="AE43" s="2448"/>
      <c r="AF43" s="2447"/>
      <c r="AG43" s="2447"/>
      <c r="AH43" s="2447"/>
      <c r="AI43" s="2448"/>
      <c r="AJ43" s="2446"/>
      <c r="AK43" s="2447"/>
      <c r="AL43" s="2447"/>
      <c r="AM43" s="2448"/>
      <c r="AN43" s="1973" t="s">
        <v>603</v>
      </c>
      <c r="AO43" s="1973" t="s">
        <v>604</v>
      </c>
      <c r="AP43" s="1451" t="s">
        <v>572</v>
      </c>
      <c r="AQ43" s="2383" t="s">
        <v>573</v>
      </c>
      <c r="AR43" s="2384"/>
      <c r="AS43" s="2392"/>
      <c r="AT43" s="2395"/>
      <c r="AU43" s="2240"/>
      <c r="BA43" s="1268">
        <v>14</v>
      </c>
    </row>
    <row s="8962"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187</v>
      </c>
      <c r="T44" s="1368" t="s">
        <v>104</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267</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198</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267</v>
      </c>
      <c r="B46" s="1476" t="s">
        <v>268</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525</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526</v>
      </c>
      <c r="AW46" s="613"/>
      <c r="AX46" s="613" t="str">
        <f>IF(T46="","",T46)</f>
        <v>Территория действия тарифа</v>
      </c>
      <c r="AY46" s="613"/>
      <c r="AZ46" s="613"/>
      <c r="BA46" s="1268">
        <v>21</v>
      </c>
    </row>
    <row customHeight="1" ht="24">
      <c r="A47" s="1476" t="s">
        <v>267</v>
      </c>
      <c r="B47" s="1476" t="s">
        <v>268</v>
      </c>
      <c r="C47" s="1476" t="s">
        <v>269</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527</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528</v>
      </c>
      <c r="AW47" s="613"/>
      <c r="AX47" s="613" t="str">
        <f>IF(T47="","",T47)</f>
        <v>Наименование системы теплоснабжения </v>
      </c>
      <c r="AY47" s="613"/>
      <c r="AZ47" s="613"/>
      <c r="BA47" s="1268">
        <v>23</v>
      </c>
    </row>
    <row customHeight="1" ht="21">
      <c r="A48" s="1476" t="s">
        <v>267</v>
      </c>
      <c r="B48" s="1476" t="s">
        <v>268</v>
      </c>
      <c r="C48" s="1476" t="s">
        <v>269</v>
      </c>
      <c r="D48" s="1476" t="s">
        <v>270</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529</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530</v>
      </c>
      <c r="AW48" s="613"/>
      <c r="AX48" s="613" t="str">
        <f>IF(T48="","",T48)</f>
        <v>Источник тепловой энергии  </v>
      </c>
      <c r="AY48" s="613"/>
      <c r="AZ48" s="613"/>
      <c r="BA48" s="1268">
        <v>20</v>
      </c>
    </row>
    <row s="8355" customFormat="1" customHeight="1" ht="1.05">
      <c r="A49" s="1456" t="s">
        <v>267</v>
      </c>
      <c r="B49" s="1456" t="s">
        <v>268</v>
      </c>
      <c r="C49" s="1456" t="s">
        <v>269</v>
      </c>
      <c r="D49" s="1456" t="s">
        <v>270</v>
      </c>
      <c r="E49" s="2372"/>
      <c r="F49" s="2372"/>
      <c r="G49" s="2372"/>
      <c r="H49" s="2372"/>
      <c r="I49" s="2369" t="str">
        <f>S48&amp;".1"</f>
        <v>....1</v>
      </c>
      <c r="J49" s="1456"/>
      <c r="K49" s="1456"/>
      <c r="L49" s="1459" t="s">
        <v>531</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8355" customFormat="1" customHeight="1" ht="1.05">
      <c r="A50" s="1456" t="s">
        <v>267</v>
      </c>
      <c r="B50" s="1456" t="s">
        <v>268</v>
      </c>
      <c r="C50" s="1456" t="s">
        <v>269</v>
      </c>
      <c r="D50" s="1456" t="s">
        <v>270</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267</v>
      </c>
      <c r="B51" s="1476" t="s">
        <v>268</v>
      </c>
      <c r="C51" s="1476" t="s">
        <v>269</v>
      </c>
      <c r="D51" s="1476" t="s">
        <v>270</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66</v>
      </c>
      <c r="Z51" s="1847"/>
      <c r="AA51" s="1572" t="s">
        <v>66</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66</v>
      </c>
      <c r="AR51" s="1847"/>
      <c r="AS51" s="1572" t="s">
        <v>66</v>
      </c>
      <c r="AT51" s="1461"/>
      <c r="AU51" s="2366" t="s">
        <v>605</v>
      </c>
      <c r="AV51" s="624">
        <f>STRCHECKDATE(V54:AT54)</f>
      </c>
      <c r="AW51" s="613"/>
      <c r="AX51" s="613" t="str">
        <f>IF(T51="","",T51)</f>
        <v/>
      </c>
      <c r="AY51" s="613"/>
      <c r="AZ51" s="613"/>
      <c r="BA51" s="1268">
        <v>21</v>
      </c>
    </row>
    <row customHeight="1" ht="11.549999999999999">
      <c r="A52" s="1476" t="s">
        <v>267</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590</v>
      </c>
      <c r="AN52" s="1506"/>
      <c r="AO52" s="1609"/>
      <c r="AP52" s="1506"/>
      <c r="AQ52" s="1506"/>
      <c r="AR52" s="1506"/>
      <c r="AS52" s="1506"/>
      <c r="AT52" s="1503"/>
      <c r="AU52" s="2367"/>
      <c r="AW52" s="613"/>
      <c r="AX52" s="613"/>
      <c r="AY52" s="613"/>
      <c r="AZ52" s="613"/>
      <c r="BA52" s="1268">
        <v>11</v>
      </c>
    </row>
    <row customHeight="1" ht="11.549999999999999">
      <c r="A53" s="1476" t="s">
        <v>267</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591</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267</v>
      </c>
      <c r="B54" s="1476" t="s">
        <v>268</v>
      </c>
      <c r="C54" s="1476" t="s">
        <v>269</v>
      </c>
      <c r="D54" s="1476" t="s">
        <v>270</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592</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267</v>
      </c>
      <c r="B55" s="1476" t="s">
        <v>268</v>
      </c>
      <c r="C55" s="1476" t="s">
        <v>269</v>
      </c>
      <c r="D55" s="1476" t="s">
        <v>270</v>
      </c>
      <c r="E55" s="2372"/>
      <c r="F55" s="2372"/>
      <c r="G55" s="2372"/>
      <c r="H55" s="2372"/>
      <c r="I55" s="2399"/>
      <c r="J55" s="2369"/>
      <c r="K55" s="1476"/>
      <c r="L55" s="1477"/>
      <c r="P55" s="2370"/>
      <c r="Q55" s="2370"/>
      <c r="R55" s="469"/>
      <c r="S55" s="1391"/>
      <c r="T55" s="400" t="s">
        <v>593</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8355" customFormat="1" customHeight="1" ht="1.05">
      <c r="A56" s="1456" t="s">
        <v>267</v>
      </c>
      <c r="B56" s="1456" t="s">
        <v>268</v>
      </c>
      <c r="C56" s="1456" t="s">
        <v>269</v>
      </c>
      <c r="D56" s="1456" t="s">
        <v>270</v>
      </c>
      <c r="E56" s="2372"/>
      <c r="F56" s="2372"/>
      <c r="G56" s="2372"/>
      <c r="H56" s="2372"/>
      <c r="I56" s="2369"/>
      <c r="J56" s="1456"/>
      <c r="K56" s="1456"/>
      <c r="L56" s="1459"/>
      <c r="M56" s="623"/>
      <c r="N56" s="623"/>
      <c r="O56" s="623"/>
      <c r="P56" s="2370"/>
      <c r="Q56" s="1444"/>
      <c r="R56" s="469"/>
      <c r="S56" s="1499"/>
      <c r="T56" s="1500" t="s">
        <v>540</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8962" customFormat="1" customHeight="1" ht="1.05">
      <c r="A57" s="1456" t="s">
        <v>267</v>
      </c>
      <c r="B57" s="1456" t="s">
        <v>268</v>
      </c>
      <c r="C57" s="1456" t="s">
        <v>269</v>
      </c>
      <c r="D57" s="1456" t="s">
        <v>270</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8355" customFormat="1" customHeight="1" ht="1.05">
      <c r="A58" s="1456" t="s">
        <v>267</v>
      </c>
      <c r="B58" s="1456" t="s">
        <v>268</v>
      </c>
      <c r="C58" s="1456" t="s">
        <v>269</v>
      </c>
      <c r="D58" s="1427"/>
      <c r="E58" s="2372"/>
      <c r="F58" s="2372"/>
      <c r="G58" s="2371"/>
      <c r="H58" s="1427"/>
      <c r="I58" s="1427"/>
      <c r="J58" s="1427"/>
      <c r="K58" s="1427"/>
      <c r="L58" s="1452"/>
      <c r="M58" s="1428"/>
      <c r="N58" s="1428"/>
      <c r="P58" s="1429"/>
      <c r="Q58" s="1430"/>
      <c r="R58" s="1429"/>
      <c r="S58" s="1435"/>
      <c r="T58" s="1438" t="s">
        <v>542</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8355" customFormat="1" customHeight="1" ht="1.05">
      <c r="A59" s="1456" t="s">
        <v>267</v>
      </c>
      <c r="B59" s="1456" t="s">
        <v>268</v>
      </c>
      <c r="C59" s="1427"/>
      <c r="D59" s="1427"/>
      <c r="E59" s="2372"/>
      <c r="F59" s="2371"/>
      <c r="G59" s="1427"/>
      <c r="H59" s="1427"/>
      <c r="I59" s="1427"/>
      <c r="J59" s="1427"/>
      <c r="K59" s="1427"/>
      <c r="L59" s="1452"/>
      <c r="M59" s="1434"/>
      <c r="N59" s="1434"/>
      <c r="P59" s="1429"/>
      <c r="Q59" s="1430"/>
      <c r="R59" s="1429"/>
      <c r="S59" s="1435"/>
      <c r="T59" s="1438" t="s">
        <v>298</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8355" customFormat="1" customHeight="1" ht="1.05">
      <c r="A60" s="1456" t="s">
        <v>267</v>
      </c>
      <c r="B60" s="1456"/>
      <c r="C60" s="1456"/>
      <c r="D60" s="1456"/>
      <c r="E60" s="2372"/>
      <c r="F60" s="1456"/>
      <c r="G60" s="1456"/>
      <c r="H60" s="1456"/>
      <c r="I60" s="1456"/>
      <c r="J60" s="1456"/>
      <c r="K60" s="1456"/>
      <c r="L60" s="1459"/>
      <c r="M60" s="1434"/>
      <c r="N60" s="1434"/>
      <c r="O60" s="631"/>
      <c r="P60" s="493"/>
      <c r="Q60" s="1457"/>
      <c r="R60" s="493"/>
      <c r="S60" s="1435"/>
      <c r="T60" s="1438" t="s">
        <v>355</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8355" customFormat="1" customHeight="1" ht="1.05">
      <c r="A61" s="1456" t="s">
        <v>267</v>
      </c>
      <c r="B61" s="1456"/>
      <c r="C61" s="1456"/>
      <c r="D61" s="1456"/>
      <c r="E61" s="2371"/>
      <c r="F61" s="1456"/>
      <c r="G61" s="1456"/>
      <c r="H61" s="1456"/>
      <c r="I61" s="1456"/>
      <c r="J61" s="1456"/>
      <c r="K61" s="1456"/>
      <c r="L61" s="1459"/>
      <c r="M61" s="1434"/>
      <c r="N61" s="1434"/>
      <c r="O61" s="631"/>
      <c r="P61" s="493"/>
      <c r="Q61" s="1457"/>
      <c r="R61" s="493"/>
      <c r="S61" s="1435"/>
      <c r="T61" s="1438" t="s">
        <v>355</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8355"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356</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82</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DA21AD-A9B8-6C69-70E3-B943ED39210D}" mc:Ignorable="x14ac xr xr2 xr3">
  <sheetPr>
    <tabColor theme="6" tint="0.4"/>
  </sheetPr>
  <dimension ref="A1:AX390"/>
  <sheetViews>
    <sheetView topLeftCell="A1" showGridLines="0" zoomScale="90" workbookViewId="0">
      <selection activeCell="AD378" sqref="AD378"/>
    </sheetView>
  </sheetViews>
  <sheetFormatPr defaultColWidth="10.57421875" customHeight="1" defaultRowHeight="14.25"/>
  <cols>
    <col min="1" max="1" style="8354" width="10.57421875" hidden="1"/>
    <col min="2" max="2" style="8354" width="11.00390625" hidden="1" customWidth="1"/>
    <col min="3" max="3" style="8354" width="10.57421875" hidden="1"/>
    <col min="4" max="4" style="8354" width="11.8515625" hidden="1" customWidth="1"/>
    <col min="5" max="5" style="8354" width="10.00390625" hidden="1" customWidth="1"/>
    <col min="6" max="6" style="8354" width="8.7109375" hidden="1" customWidth="1"/>
    <col min="7" max="7" style="8354" width="7.57421875" hidden="1" customWidth="1"/>
    <col min="8" max="8" style="8354" width="11.421875" hidden="1" customWidth="1"/>
    <col min="9" max="9" style="8354" width="14.140625" hidden="1" customWidth="1"/>
    <col min="10" max="10" style="8354" width="9.8515625" hidden="1" customWidth="1"/>
    <col min="11" max="11" style="8354" width="14.7109375" hidden="1" customWidth="1"/>
    <col min="12" max="12" style="9204" width="19.140625" hidden="1" customWidth="1"/>
    <col min="13" max="14" style="9205" width="12.28125" hidden="1" customWidth="1"/>
    <col min="15" max="15" style="9205" width="23.421875" hidden="1" customWidth="1"/>
    <col min="16" max="16" style="9206" width="3.00390625" customWidth="1"/>
    <col min="17" max="18" style="9207" width="3.00390625" customWidth="1"/>
    <col min="19" max="19" style="9208" width="12.00390625" customWidth="1"/>
    <col min="20" max="20" style="8273" width="35.00390625" customWidth="1"/>
    <col min="21" max="21" style="8273" width="0.140625" customWidth="1"/>
    <col min="22" max="24" style="8273" width="24.7109375" hidden="1" customWidth="1"/>
    <col min="25" max="25" style="8273" width="11.7109375" hidden="1" customWidth="1"/>
    <col min="26" max="26" style="8273" width="3.7109375" hidden="1" customWidth="1"/>
    <col min="27" max="27" style="8273" width="11.7109375" hidden="1" customWidth="1"/>
    <col min="28" max="28" style="8273" width="8.57421875" hidden="1" customWidth="1"/>
    <col min="29" max="29" style="8273" width="24.7109375" customWidth="1"/>
    <col min="30" max="31" style="8273" width="24.00390625" customWidth="1"/>
    <col min="32" max="32" style="8273" width="11.00390625" customWidth="1"/>
    <col min="33" max="33" style="8273" width="3.7109375" customWidth="1"/>
    <col min="34" max="34" style="8273" width="11.00390625" customWidth="1"/>
    <col min="35" max="35" style="8273" width="8.57421875" customWidth="1"/>
    <col min="42" max="42" style="62" width="10.57421875" hidden="1"/>
    <col min="43" max="43" style="8273" width="4.00390625" customWidth="1"/>
    <col min="44" max="44" style="8273" width="115.00390625" customWidth="1"/>
    <col min="45" max="49" style="8355" width="10.00390625" customWidth="1"/>
    <col min="50" max="50" style="8273" width="10.57421875" hidden="1"/>
  </cols>
  <sheetData>
    <row customHeight="1" ht="22.5" hidden="1">
      <c r="X1" s="440"/>
      <c r="Y1" s="440"/>
      <c r="AE1" s="440"/>
      <c r="AF1" s="440"/>
      <c r="AJ1" s="3916"/>
      <c r="AK1" s="3916"/>
      <c r="AL1" s="3916"/>
      <c r="AM1" s="3916"/>
      <c r="AN1" s="3916"/>
      <c r="AO1" s="3916"/>
      <c r="AP1" s="3916"/>
      <c r="AX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198</v>
      </c>
      <c r="U2" s="413"/>
      <c r="V2" s="2355"/>
      <c r="W2" s="2356"/>
      <c r="X2" s="2356"/>
      <c r="Y2" s="2356"/>
      <c r="Z2" s="2356"/>
      <c r="AA2" s="2356"/>
      <c r="AB2" s="2357"/>
      <c r="AC2" s="2355">
        <f>INDEX(PT_DIFFERENTIATION_NTAR,MATCH(A2,PT_DIFFERENTIATION_NTAR_ID,0))</f>
      </c>
      <c r="AD2" s="2356"/>
      <c r="AE2" s="2356"/>
      <c r="AF2" s="2356"/>
      <c r="AG2" s="2356"/>
      <c r="AH2" s="2356"/>
      <c r="AI2" s="2356"/>
      <c r="AJ2" s="3918"/>
      <c r="AK2" s="3919"/>
      <c r="AL2" s="3919"/>
      <c r="AM2" s="3919"/>
      <c r="AN2" s="3919"/>
      <c r="AO2" s="3919"/>
      <c r="AP2" s="3920"/>
      <c r="AQ2" s="2357"/>
      <c r="AR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2" s="613"/>
      <c r="AU2" s="613" t="str">
        <f>IF(T2="","",T2)</f>
        <v>Наименование тарифа</v>
      </c>
      <c r="AV2" s="613"/>
      <c r="AW2" s="613"/>
      <c r="AX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525</v>
      </c>
      <c r="U3" s="413"/>
      <c r="V3" s="2355"/>
      <c r="W3" s="2356"/>
      <c r="X3" s="2356"/>
      <c r="Y3" s="2356"/>
      <c r="Z3" s="2356"/>
      <c r="AA3" s="2356"/>
      <c r="AB3" s="2357"/>
      <c r="AC3" s="2355">
        <f>INDEX(PT_DIFFERENTIATION_TER,MATCH(B3,PT_DIFFERENTIATION_TER_ID,0))</f>
      </c>
      <c r="AD3" s="2356"/>
      <c r="AE3" s="2356"/>
      <c r="AF3" s="2356"/>
      <c r="AG3" s="2356"/>
      <c r="AH3" s="2356"/>
      <c r="AI3" s="2356"/>
      <c r="AJ3" s="3918"/>
      <c r="AK3" s="3919"/>
      <c r="AL3" s="3919"/>
      <c r="AM3" s="3919"/>
      <c r="AN3" s="3919"/>
      <c r="AO3" s="3919"/>
      <c r="AP3" s="3920"/>
      <c r="AQ3" s="2357"/>
      <c r="AR3" s="1371" t="s">
        <v>526</v>
      </c>
      <c r="AT3" s="613"/>
      <c r="AU3" s="613" t="str">
        <f>IF(T3="","",T3)</f>
        <v>Территория действия тарифа</v>
      </c>
      <c r="AV3" s="613"/>
      <c r="AW3" s="613"/>
      <c r="AX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606</v>
      </c>
      <c r="U4" s="413"/>
      <c r="V4" s="2355"/>
      <c r="W4" s="2356"/>
      <c r="X4" s="2356"/>
      <c r="Y4" s="2356"/>
      <c r="Z4" s="2356"/>
      <c r="AA4" s="2356"/>
      <c r="AB4" s="2357"/>
      <c r="AC4" s="2355">
        <f>INDEX(PT_DIFFERENTIATION_CS,MATCH(C4,PT_DIFFERENTIATION_CS_ID,0))</f>
      </c>
      <c r="AD4" s="2356"/>
      <c r="AE4" s="2356"/>
      <c r="AF4" s="2356"/>
      <c r="AG4" s="2356"/>
      <c r="AH4" s="2356"/>
      <c r="AI4" s="2356"/>
      <c r="AJ4" s="3918"/>
      <c r="AK4" s="3919"/>
      <c r="AL4" s="3919"/>
      <c r="AM4" s="3919"/>
      <c r="AN4" s="3919"/>
      <c r="AO4" s="3919"/>
      <c r="AP4" s="3920"/>
      <c r="AQ4" s="2357"/>
      <c r="AR4" s="1371" t="s">
        <v>607</v>
      </c>
      <c r="AT4" s="613"/>
      <c r="AU4" s="613" t="str">
        <f>IF(T4="","",T4)</f>
        <v>Наименование централизованной системы холодного водоснабжения</v>
      </c>
      <c r="AV4" s="613"/>
      <c r="AW4" s="613"/>
      <c r="AX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608</v>
      </c>
      <c r="U5" s="413"/>
      <c r="V5" s="2463"/>
      <c r="W5" s="2464"/>
      <c r="X5" s="2464"/>
      <c r="Y5" s="2464"/>
      <c r="Z5" s="2464"/>
      <c r="AA5" s="2464"/>
      <c r="AB5" s="2465"/>
      <c r="AC5" s="2466"/>
      <c r="AD5" s="2467"/>
      <c r="AE5" s="2467"/>
      <c r="AF5" s="2467"/>
      <c r="AG5" s="2467"/>
      <c r="AH5" s="2467"/>
      <c r="AI5" s="2467"/>
      <c r="AJ5" s="3928"/>
      <c r="AK5" s="3929"/>
      <c r="AL5" s="3929"/>
      <c r="AM5" s="3929"/>
      <c r="AN5" s="3929"/>
      <c r="AO5" s="3929"/>
      <c r="AP5" s="3930"/>
      <c r="AQ5" s="2468"/>
      <c r="AR5" s="1371" t="s">
        <v>609</v>
      </c>
      <c r="AT5" s="613"/>
      <c r="AU5" s="613" t="str">
        <f>IF(T5="","",T5)</f>
        <v>Наименование признака дифференциации</v>
      </c>
      <c r="AV5" s="613"/>
      <c r="AW5" s="613"/>
      <c r="AX5" s="1268">
        <v>0</v>
      </c>
    </row>
    <row customHeight="1" ht="23.25" hidden="1">
      <c r="A6" s="1476"/>
      <c r="B6" s="1476"/>
      <c r="C6" s="1476"/>
      <c r="D6" s="1476"/>
      <c r="E6" s="2372"/>
      <c r="F6" s="2372"/>
      <c r="G6" s="2372"/>
      <c r="H6" s="2372"/>
      <c r="I6" s="2399"/>
      <c r="J6" s="2369">
        <f>I5&amp;".1"</f>
      </c>
      <c r="K6" s="1476"/>
      <c r="L6" s="1477" t="s">
        <v>534</v>
      </c>
      <c r="P6" s="2370"/>
      <c r="Q6" s="2370">
        <v>1</v>
      </c>
      <c r="R6" s="470"/>
      <c r="S6" s="1538">
        <f>$J6</f>
      </c>
      <c r="T6" s="399" t="s">
        <v>535</v>
      </c>
      <c r="U6" s="413"/>
      <c r="V6" s="2358"/>
      <c r="W6" s="2359"/>
      <c r="X6" s="2359"/>
      <c r="Y6" s="2359"/>
      <c r="Z6" s="2359"/>
      <c r="AA6" s="2359"/>
      <c r="AB6" s="2360"/>
      <c r="AC6" s="2358"/>
      <c r="AD6" s="2359"/>
      <c r="AE6" s="2359"/>
      <c r="AF6" s="2359"/>
      <c r="AG6" s="2359"/>
      <c r="AH6" s="2359"/>
      <c r="AI6" s="2359"/>
      <c r="AJ6" s="3932"/>
      <c r="AK6" s="3933"/>
      <c r="AL6" s="3933"/>
      <c r="AM6" s="3933"/>
      <c r="AN6" s="3933"/>
      <c r="AO6" s="3933"/>
      <c r="AP6" s="3934"/>
      <c r="AQ6" s="2360"/>
      <c r="AR6" s="1420" t="s">
        <v>610</v>
      </c>
      <c r="AT6" s="613"/>
      <c r="AU6" s="613" t="str">
        <f>IF(T6="","",T6)</f>
        <v>Группа потребителей</v>
      </c>
      <c r="AV6" s="613"/>
      <c r="AW6" s="613"/>
      <c r="AX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66</v>
      </c>
      <c r="AA7" s="2378"/>
      <c r="AB7" s="2220" t="s">
        <v>66</v>
      </c>
      <c r="AC7" s="864"/>
      <c r="AD7" s="864"/>
      <c r="AE7" s="1370"/>
      <c r="AF7" s="2378"/>
      <c r="AG7" s="2220" t="s">
        <v>66</v>
      </c>
      <c r="AH7" s="2400"/>
      <c r="AI7" s="2220" t="s">
        <v>66</v>
      </c>
      <c r="AJ7" s="3936"/>
      <c r="AK7" s="3936"/>
      <c r="AL7" s="3937"/>
      <c r="AM7" s="3938"/>
      <c r="AN7" s="3939" t="s">
        <v>66</v>
      </c>
      <c r="AO7" s="3938"/>
      <c r="AP7" s="3939" t="s">
        <v>66</v>
      </c>
      <c r="AQ7" s="1551"/>
      <c r="AR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624">
        <f>STRCHECKDATE(V8:AQ8)</f>
      </c>
      <c r="AT7" s="613"/>
      <c r="AU7" s="613" t="str">
        <f>IF(T7="","",T7)</f>
        <v/>
      </c>
      <c r="AV7" s="613"/>
      <c r="AW7" s="613"/>
      <c r="AX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3943"/>
      <c r="AK8" s="3943"/>
      <c r="AL8" s="3944" t="str">
        <f>AM7&amp;"-"&amp;AO7</f>
        <v>-</v>
      </c>
      <c r="AM8" s="3945"/>
      <c r="AN8" s="3939"/>
      <c r="AO8" s="3945"/>
      <c r="AP8" s="3939"/>
      <c r="AQ8" s="1552"/>
      <c r="AR8" s="2462"/>
      <c r="AT8" s="613"/>
      <c r="AU8" s="613" t="str">
        <f>IF(T8="","",T8)</f>
        <v/>
      </c>
      <c r="AV8" s="613"/>
      <c r="AW8" s="613"/>
      <c r="AX8" s="1268">
        <v>0</v>
      </c>
    </row>
    <row customHeight="1" ht="21" hidden="1">
      <c r="A9" s="1476"/>
      <c r="B9" s="1476"/>
      <c r="C9" s="1476"/>
      <c r="D9" s="1476"/>
      <c r="E9" s="2372"/>
      <c r="F9" s="2372"/>
      <c r="G9" s="2372"/>
      <c r="H9" s="2372"/>
      <c r="I9" s="2399"/>
      <c r="J9" s="2369"/>
      <c r="K9" s="1476"/>
      <c r="L9" s="1477"/>
      <c r="P9" s="2370"/>
      <c r="Q9" s="2370"/>
      <c r="R9" s="469"/>
      <c r="S9" s="1391"/>
      <c r="T9" s="400" t="s">
        <v>611</v>
      </c>
      <c r="U9" s="480"/>
      <c r="V9" s="480"/>
      <c r="W9" s="480"/>
      <c r="X9" s="480"/>
      <c r="Y9" s="480"/>
      <c r="Z9" s="480"/>
      <c r="AA9" s="480"/>
      <c r="AB9" s="480"/>
      <c r="AC9" s="480"/>
      <c r="AD9" s="480"/>
      <c r="AE9" s="480"/>
      <c r="AF9" s="480"/>
      <c r="AG9" s="480"/>
      <c r="AH9" s="480"/>
      <c r="AI9" s="480"/>
      <c r="AJ9" s="3947"/>
      <c r="AK9" s="3948"/>
      <c r="AL9" s="3949"/>
      <c r="AM9" s="3950"/>
      <c r="AN9" s="3951"/>
      <c r="AO9" s="3952"/>
      <c r="AP9" s="3953"/>
      <c r="AQ9" s="480"/>
      <c r="AR9" s="1371" t="s">
        <v>612</v>
      </c>
      <c r="AT9" s="613"/>
      <c r="AU9" s="613" t="str">
        <f>IF(T9="","",T9)</f>
        <v>Добавить значение признака дифференциации</v>
      </c>
      <c r="AV9" s="613"/>
      <c r="AW9" s="613"/>
      <c r="AX9" s="1268">
        <v>0</v>
      </c>
    </row>
    <row customHeight="1" ht="21" hidden="1">
      <c r="A10" s="1476"/>
      <c r="B10" s="1476"/>
      <c r="C10" s="1476"/>
      <c r="D10" s="1476"/>
      <c r="E10" s="2372"/>
      <c r="F10" s="2372"/>
      <c r="G10" s="2372"/>
      <c r="H10" s="2372"/>
      <c r="I10" s="2369"/>
      <c r="J10" s="1476"/>
      <c r="K10" s="1476"/>
      <c r="L10" s="1477"/>
      <c r="P10" s="2370"/>
      <c r="Q10" s="1535"/>
      <c r="R10" s="469"/>
      <c r="S10" s="1391"/>
      <c r="T10" s="478" t="s">
        <v>540</v>
      </c>
      <c r="U10" s="480"/>
      <c r="V10" s="480"/>
      <c r="W10" s="480"/>
      <c r="X10" s="480"/>
      <c r="Y10" s="480"/>
      <c r="Z10" s="480"/>
      <c r="AA10" s="480"/>
      <c r="AB10" s="479"/>
      <c r="AC10" s="480"/>
      <c r="AD10" s="480"/>
      <c r="AE10" s="480"/>
      <c r="AF10" s="480"/>
      <c r="AG10" s="480"/>
      <c r="AH10" s="480"/>
      <c r="AI10" s="479"/>
      <c r="AJ10" s="3954"/>
      <c r="AK10" s="3955"/>
      <c r="AL10" s="3956"/>
      <c r="AM10" s="3957"/>
      <c r="AN10" s="3958"/>
      <c r="AO10" s="3959"/>
      <c r="AP10" s="3960"/>
      <c r="AQ10" s="480"/>
      <c r="AR10" s="1553"/>
      <c r="AT10" s="613"/>
      <c r="AU10" s="613" t="str">
        <f>IF(T10="","",T10)</f>
        <v>Добавить группу потребителей</v>
      </c>
      <c r="AV10" s="613"/>
      <c r="AW10" s="613"/>
      <c r="AX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613</v>
      </c>
      <c r="U11" s="480"/>
      <c r="V11" s="480"/>
      <c r="W11" s="480"/>
      <c r="X11" s="480"/>
      <c r="Y11" s="480"/>
      <c r="Z11" s="480"/>
      <c r="AA11" s="480"/>
      <c r="AB11" s="479"/>
      <c r="AC11" s="480"/>
      <c r="AD11" s="480"/>
      <c r="AE11" s="480"/>
      <c r="AF11" s="480"/>
      <c r="AG11" s="480"/>
      <c r="AH11" s="480"/>
      <c r="AI11" s="479"/>
      <c r="AJ11" s="3963"/>
      <c r="AK11" s="3964"/>
      <c r="AL11" s="3965"/>
      <c r="AM11" s="3966"/>
      <c r="AN11" s="3967"/>
      <c r="AO11" s="3968"/>
      <c r="AP11" s="3969"/>
      <c r="AQ11" s="480"/>
      <c r="AR11" s="416"/>
      <c r="AT11" s="613"/>
      <c r="AU11" s="613" t="str">
        <f>IF(T11="","",T11)</f>
        <v>Добавить наименование признака дифференциации</v>
      </c>
      <c r="AV11" s="613"/>
      <c r="AW11" s="613"/>
      <c r="AX11" s="1268">
        <v>0</v>
      </c>
    </row>
    <row s="8355"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298</v>
      </c>
      <c r="U12" s="1437"/>
      <c r="V12" s="1437"/>
      <c r="W12" s="1437"/>
      <c r="X12" s="1437"/>
      <c r="Y12" s="1437"/>
      <c r="Z12" s="1437"/>
      <c r="AA12" s="1437"/>
      <c r="AB12" s="1437"/>
      <c r="AC12" s="1437"/>
      <c r="AD12" s="1437"/>
      <c r="AE12" s="1437"/>
      <c r="AF12" s="1437"/>
      <c r="AG12" s="1437"/>
      <c r="AH12" s="1437"/>
      <c r="AI12" s="1437"/>
      <c r="AJ12" s="3971"/>
      <c r="AK12" s="3971"/>
      <c r="AL12" s="3971"/>
      <c r="AM12" s="3971"/>
      <c r="AN12" s="3971"/>
      <c r="AO12" s="3971"/>
      <c r="AP12" s="3971"/>
      <c r="AQ12" s="1437"/>
      <c r="AR12" s="1437"/>
      <c r="AT12" s="902"/>
      <c r="AU12" s="902" t="str">
        <f>IF(T12="","",T12)</f>
        <v>Добавить централизованную систему для дифференциации</v>
      </c>
      <c r="AV12" s="902"/>
      <c r="AW12" s="902"/>
      <c r="AX12" s="631">
        <v>0</v>
      </c>
    </row>
    <row s="835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355</v>
      </c>
      <c r="U13" s="1437"/>
      <c r="V13" s="1437"/>
      <c r="W13" s="1437"/>
      <c r="X13" s="1437"/>
      <c r="Y13" s="1437"/>
      <c r="Z13" s="1437"/>
      <c r="AA13" s="1437"/>
      <c r="AB13" s="1437"/>
      <c r="AC13" s="1437"/>
      <c r="AD13" s="1437"/>
      <c r="AE13" s="1437"/>
      <c r="AF13" s="1437"/>
      <c r="AG13" s="1437"/>
      <c r="AH13" s="1437"/>
      <c r="AI13" s="1437"/>
      <c r="AJ13" s="3971"/>
      <c r="AK13" s="3971"/>
      <c r="AL13" s="3971"/>
      <c r="AM13" s="3971"/>
      <c r="AN13" s="3971"/>
      <c r="AO13" s="3971"/>
      <c r="AP13" s="3971"/>
      <c r="AQ13" s="1437"/>
      <c r="AR13" s="1437"/>
      <c r="AT13" s="613"/>
      <c r="AU13" s="613" t="str">
        <f>IF(T13="","",T13)</f>
        <v>Добавить территорию для дифференциации</v>
      </c>
      <c r="AV13" s="613"/>
      <c r="AW13" s="613"/>
      <c r="AX13" s="624">
        <v>0</v>
      </c>
    </row>
    <row customHeight="1" ht="14.25" hidden="1">
      <c r="AB14" s="440"/>
      <c r="AI14" s="440"/>
      <c r="AJ14" s="3916"/>
      <c r="AK14" s="3916"/>
      <c r="AL14" s="3916"/>
      <c r="AM14" s="3916"/>
      <c r="AN14" s="3916"/>
      <c r="AO14" s="3916"/>
      <c r="AP14" s="3916"/>
      <c r="AX14" s="1268">
        <v>0</v>
      </c>
    </row>
    <row customHeight="1" ht="14.25" hidden="1">
      <c r="AC15" s="1473"/>
      <c r="AD15" s="1473"/>
      <c r="AE15" s="1474"/>
      <c r="AF15" s="2380"/>
      <c r="AG15" s="2381" t="s">
        <v>66</v>
      </c>
      <c r="AH15" s="2380"/>
      <c r="AI15" s="2381" t="s">
        <v>66</v>
      </c>
      <c r="AJ15" s="3916"/>
      <c r="AK15" s="3916"/>
      <c r="AL15" s="3916"/>
      <c r="AM15" s="3916"/>
      <c r="AN15" s="3916"/>
      <c r="AO15" s="3916"/>
      <c r="AP15" s="3916"/>
      <c r="AX15" s="1268">
        <v>0</v>
      </c>
    </row>
    <row customHeight="1" ht="14.25" hidden="1">
      <c r="AC16" s="1473"/>
      <c r="AD16" s="1473"/>
      <c r="AE16" s="441" t="str">
        <f>AF15&amp;"-"&amp;AH15</f>
        <v>-</v>
      </c>
      <c r="AF16" s="2381"/>
      <c r="AG16" s="2381"/>
      <c r="AH16" s="2381"/>
      <c r="AI16" s="2381"/>
      <c r="AJ16" s="3916"/>
      <c r="AK16" s="3916"/>
      <c r="AL16" s="3916"/>
      <c r="AM16" s="3916"/>
      <c r="AN16" s="3916"/>
      <c r="AO16" s="3916"/>
      <c r="AP16" s="3916"/>
      <c r="AX16" s="1268">
        <v>0</v>
      </c>
    </row>
    <row customHeight="1" ht="14.25" hidden="1">
      <c r="AI17" s="440"/>
      <c r="AJ17" s="3916"/>
      <c r="AK17" s="3916"/>
      <c r="AL17" s="3916"/>
      <c r="AM17" s="3916"/>
      <c r="AN17" s="3916"/>
      <c r="AO17" s="3916"/>
      <c r="AP17" s="3916"/>
      <c r="AX17" s="1268">
        <v>0</v>
      </c>
    </row>
    <row s="8354" customFormat="1" customHeight="1" ht="22.5" hidden="1">
      <c r="L18" s="1534"/>
      <c r="M18" s="1475"/>
      <c r="N18" s="1475"/>
      <c r="O18" s="1480" t="s">
        <v>543</v>
      </c>
      <c r="P18" s="1475"/>
      <c r="Q18" s="1484"/>
      <c r="R18" s="1484"/>
      <c r="S18" s="842"/>
      <c r="Y18" s="1480"/>
      <c r="AA18" s="1480"/>
      <c r="AB18" s="1479"/>
      <c r="AF18" s="1480"/>
      <c r="AH18" s="1480"/>
      <c r="AI18" s="1479"/>
      <c r="AJ18" s="3973"/>
      <c r="AK18" s="3973"/>
      <c r="AL18" s="3973"/>
      <c r="AM18" s="3974"/>
      <c r="AN18" s="3973"/>
      <c r="AO18" s="3974"/>
      <c r="AP18" s="3973"/>
      <c r="AS18" s="624"/>
      <c r="AT18" s="624"/>
      <c r="AU18" s="624"/>
      <c r="AV18" s="624"/>
      <c r="AW18" s="624"/>
      <c r="AX18" s="1273">
        <v>0</v>
      </c>
    </row>
    <row s="8354" customFormat="1" customHeight="1" ht="14.25" hidden="1">
      <c r="L19" s="1534"/>
      <c r="M19" s="1475"/>
      <c r="N19" s="1475"/>
      <c r="O19" s="1475"/>
      <c r="P19" s="1475"/>
      <c r="Q19" s="1484"/>
      <c r="R19" s="1484"/>
      <c r="S19" s="842"/>
      <c r="AB19" s="1479"/>
      <c r="AI19" s="1479"/>
      <c r="AJ19" s="3973"/>
      <c r="AK19" s="3973"/>
      <c r="AL19" s="3973"/>
      <c r="AM19" s="3973"/>
      <c r="AN19" s="3973"/>
      <c r="AO19" s="3973"/>
      <c r="AP19" s="3973"/>
      <c r="AS19" s="624"/>
      <c r="AT19" s="624"/>
      <c r="AU19" s="624"/>
      <c r="AV19" s="624"/>
      <c r="AW19" s="624"/>
      <c r="AX19" s="1273">
        <v>0</v>
      </c>
    </row>
    <row s="8354" customFormat="1" customHeight="1" ht="12" hidden="1">
      <c r="L20" s="1534"/>
      <c r="M20" s="1475"/>
      <c r="N20" s="1475"/>
      <c r="O20" s="1477" t="s">
        <v>544</v>
      </c>
      <c r="P20" s="1475"/>
      <c r="Q20" s="1555"/>
      <c r="R20" s="1555"/>
      <c r="S20" s="842"/>
      <c r="T20" s="1273" t="s">
        <v>545</v>
      </c>
      <c r="Z20" s="299" t="s">
        <v>546</v>
      </c>
      <c r="AB20" s="299" t="s">
        <v>547</v>
      </c>
      <c r="AC20" s="1273" t="s">
        <v>545</v>
      </c>
      <c r="AG20" s="299" t="s">
        <v>548</v>
      </c>
      <c r="AI20" s="299" t="s">
        <v>547</v>
      </c>
      <c r="AJ20" s="3973"/>
      <c r="AK20" s="3973"/>
      <c r="AL20" s="3973"/>
      <c r="AM20" s="3973"/>
      <c r="AN20" s="3976" t="s">
        <v>546</v>
      </c>
      <c r="AO20" s="3973"/>
      <c r="AP20" s="3976" t="s">
        <v>547</v>
      </c>
      <c r="AX20" s="1273">
        <v>0</v>
      </c>
    </row>
    <row customHeight="1" ht="14.25" hidden="1">
      <c r="O21" s="1477"/>
      <c r="AJ21" s="3916"/>
      <c r="AK21" s="3916"/>
      <c r="AL21" s="3916"/>
      <c r="AM21" s="3916"/>
      <c r="AN21" s="3916"/>
      <c r="AO21" s="3916"/>
      <c r="AP21" s="3916"/>
      <c r="AX21" s="1268">
        <v>0</v>
      </c>
    </row>
    <row customHeight="1" ht="14.25" hidden="1">
      <c r="O22" s="1477"/>
      <c r="AJ22" s="3916"/>
      <c r="AK22" s="3916"/>
      <c r="AL22" s="3916"/>
      <c r="AM22" s="3916"/>
      <c r="AN22" s="3916"/>
      <c r="AO22" s="3916"/>
      <c r="AP22" s="3916"/>
      <c r="AX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J23" s="3916"/>
      <c r="AK23" s="3916"/>
      <c r="AL23" s="3916"/>
      <c r="AM23" s="3916"/>
      <c r="AN23" s="3916"/>
      <c r="AO23" s="3916"/>
      <c r="AP23" s="3916"/>
      <c r="AX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J24" s="3977"/>
      <c r="AK24" s="3977"/>
      <c r="AL24" s="3977"/>
      <c r="AM24" s="3977"/>
      <c r="AN24" s="3977"/>
      <c r="AO24" s="3977"/>
      <c r="AP24" s="3977"/>
      <c r="AX24" s="1268">
        <v>14</v>
      </c>
    </row>
    <row customHeight="1" ht="14.699999999999998">
      <c r="Q25" s="489"/>
      <c r="R25" s="489"/>
      <c r="S25" s="2362" t="str">
        <f>IF(org=0,"Не определено",org)</f>
        <v>МУП ЖКХ "Родник"</v>
      </c>
      <c r="T25" s="2362"/>
      <c r="U25" s="2362"/>
      <c r="V25" s="2362"/>
      <c r="W25" s="2362"/>
      <c r="X25" s="2362"/>
      <c r="Y25" s="2362"/>
      <c r="Z25" s="2362"/>
      <c r="AA25" s="2362"/>
      <c r="AB25" s="2362"/>
      <c r="AC25" s="2362"/>
      <c r="AD25" s="2362"/>
      <c r="AE25" s="2362"/>
      <c r="AF25" s="2362"/>
      <c r="AG25" s="2362"/>
      <c r="AH25" s="2362"/>
      <c r="AI25" s="1356"/>
      <c r="AJ25" s="3978"/>
      <c r="AK25" s="3978"/>
      <c r="AL25" s="3978"/>
      <c r="AM25" s="3978"/>
      <c r="AN25" s="3978"/>
      <c r="AO25" s="3978"/>
      <c r="AP25" s="3978"/>
      <c r="AX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3979"/>
      <c r="AK26" s="3979"/>
      <c r="AL26" s="3979"/>
      <c r="AM26" s="3979"/>
      <c r="AN26" s="3979"/>
      <c r="AO26" s="3979"/>
      <c r="AP26" s="3979"/>
      <c r="AQ26" s="622"/>
      <c r="AX26" s="1268">
        <v>0</v>
      </c>
    </row>
    <row s="8491"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3980" t="str">
        <f>IF(TITLE_NAME_OR_PR_CHANGE="",IF(TITLE_NAME_OR_PR="","",TITLE_NAME_OR_PR),TITLE_NAME_OR_PR_CHANGE)</f>
        <v/>
      </c>
      <c r="AK27" s="3980"/>
      <c r="AL27" s="3980"/>
      <c r="AM27" s="3980"/>
      <c r="AN27" s="3980"/>
      <c r="AO27" s="3980"/>
      <c r="AP27" s="3916"/>
      <c r="AQ27" s="439"/>
      <c r="AR27" s="393"/>
      <c r="AS27" s="481"/>
      <c r="AT27" s="481"/>
      <c r="AU27" s="481"/>
      <c r="AV27" s="481"/>
      <c r="AW27" s="481"/>
      <c r="AX27" s="531">
        <v>0</v>
      </c>
    </row>
    <row s="8491" customFormat="1" customHeight="1" ht="18.75" hidden="1">
      <c r="A28" s="1481"/>
      <c r="B28" s="1481"/>
      <c r="C28" s="1481"/>
      <c r="D28" s="1481"/>
      <c r="E28" s="1481"/>
      <c r="F28" s="1481"/>
      <c r="G28" s="1481"/>
      <c r="H28" s="1481"/>
      <c r="I28" s="1481"/>
      <c r="J28" s="1481"/>
      <c r="K28" s="1481"/>
      <c r="L28" s="1482"/>
      <c r="M28" s="1481"/>
      <c r="N28" s="1481"/>
      <c r="O28" s="1481"/>
      <c r="S28" s="2363" t="s">
        <v>549</v>
      </c>
      <c r="T28" s="2363"/>
      <c r="U28" s="1485"/>
      <c r="V28" s="2377" t="str">
        <f>IF(TITLE_DATE_PR_CHANGE="",IF(TITLE_DATE_PR="","",TITLE_DATE_PR),TITLE_DATE_PR_CHANGE)</f>
        <v>45586</v>
      </c>
      <c r="W28" s="2377"/>
      <c r="X28" s="2377"/>
      <c r="Y28" s="2377"/>
      <c r="Z28" s="2377"/>
      <c r="AA28" s="2377"/>
      <c r="AB28" s="439"/>
      <c r="AC28" s="2377" t="str">
        <f>IF(TITLE_DATE_PR_CHANGE="",IF(TITLE_DATE_PR="","",TITLE_DATE_PR),TITLE_DATE_PR_CHANGE)</f>
        <v>45586</v>
      </c>
      <c r="AD28" s="2377"/>
      <c r="AE28" s="2377"/>
      <c r="AF28" s="2377"/>
      <c r="AG28" s="2377"/>
      <c r="AH28" s="2377"/>
      <c r="AI28" s="439"/>
      <c r="AJ28" s="3981" t="str">
        <f>IF(TITLE_DATE_PR_CHANGE="",IF(TITLE_DATE_PR="","",TITLE_DATE_PR),TITLE_DATE_PR_CHANGE)</f>
        <v>45586</v>
      </c>
      <c r="AK28" s="3981"/>
      <c r="AL28" s="3981"/>
      <c r="AM28" s="3981"/>
      <c r="AN28" s="3981"/>
      <c r="AO28" s="3981"/>
      <c r="AP28" s="3916"/>
      <c r="AQ28" s="439"/>
      <c r="AR28" s="393"/>
      <c r="AS28" s="481"/>
      <c r="AT28" s="481"/>
      <c r="AU28" s="481"/>
      <c r="AV28" s="481"/>
      <c r="AW28" s="481"/>
      <c r="AX28" s="531">
        <v>0</v>
      </c>
    </row>
    <row s="8491" customFormat="1" customHeight="1" ht="18.75" hidden="1">
      <c r="A29" s="1481"/>
      <c r="B29" s="1481"/>
      <c r="C29" s="1481"/>
      <c r="D29" s="1481"/>
      <c r="E29" s="1481"/>
      <c r="F29" s="1481"/>
      <c r="G29" s="1481"/>
      <c r="H29" s="1481"/>
      <c r="I29" s="1481"/>
      <c r="J29" s="1481"/>
      <c r="K29" s="1481"/>
      <c r="L29" s="1482"/>
      <c r="M29" s="1481"/>
      <c r="N29" s="1481"/>
      <c r="O29" s="1481"/>
      <c r="S29" s="2363" t="s">
        <v>550</v>
      </c>
      <c r="T29" s="2363"/>
      <c r="U29" s="1485"/>
      <c r="V29" s="2364" t="str">
        <f>IF(TITLE_NUMBER_PR_CHANGE="",IF(TITLE_NUMBER_PR="","",TITLE_NUMBER_PR),TITLE_NUMBER_PR_CHANGE)</f>
        <v>1577</v>
      </c>
      <c r="W29" s="2364"/>
      <c r="X29" s="2364"/>
      <c r="Y29" s="2364"/>
      <c r="Z29" s="2364"/>
      <c r="AA29" s="2364"/>
      <c r="AB29" s="439"/>
      <c r="AC29" s="2364" t="str">
        <f>IF(TITLE_NUMBER_PR_CHANGE="",IF(TITLE_NUMBER_PR="","",TITLE_NUMBER_PR),TITLE_NUMBER_PR_CHANGE)</f>
        <v>1577</v>
      </c>
      <c r="AD29" s="2364"/>
      <c r="AE29" s="2364"/>
      <c r="AF29" s="2364"/>
      <c r="AG29" s="2364"/>
      <c r="AH29" s="2364"/>
      <c r="AI29" s="439"/>
      <c r="AJ29" s="3980" t="str">
        <f>IF(TITLE_NUMBER_PR_CHANGE="",IF(TITLE_NUMBER_PR="","",TITLE_NUMBER_PR),TITLE_NUMBER_PR_CHANGE)</f>
        <v>1577</v>
      </c>
      <c r="AK29" s="3980"/>
      <c r="AL29" s="3980"/>
      <c r="AM29" s="3980"/>
      <c r="AN29" s="3980"/>
      <c r="AO29" s="3980"/>
      <c r="AP29" s="3916"/>
      <c r="AQ29" s="439"/>
      <c r="AR29" s="393"/>
      <c r="AS29" s="481"/>
      <c r="AT29" s="481"/>
      <c r="AU29" s="481"/>
      <c r="AV29" s="481"/>
      <c r="AW29" s="481"/>
      <c r="AX29" s="531">
        <v>0</v>
      </c>
    </row>
    <row s="8491"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3980" t="str">
        <f>IF(TITLE_IST_PUB_CHANGE="",IF(TITLE_IST_PUB="","",TITLE_IST_PUB),TITLE_IST_PUB_CHANGE)</f>
        <v/>
      </c>
      <c r="AK30" s="3980"/>
      <c r="AL30" s="3980"/>
      <c r="AM30" s="3980"/>
      <c r="AN30" s="3980"/>
      <c r="AO30" s="3980"/>
      <c r="AP30" s="3916"/>
      <c r="AQ30" s="439"/>
      <c r="AR30" s="393"/>
      <c r="AS30" s="481"/>
      <c r="AT30" s="481"/>
      <c r="AU30" s="481"/>
      <c r="AV30" s="481"/>
      <c r="AW30" s="481"/>
      <c r="AX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3979"/>
      <c r="AK31" s="3979"/>
      <c r="AL31" s="3979"/>
      <c r="AM31" s="3979"/>
      <c r="AN31" s="3979"/>
      <c r="AO31" s="3979"/>
      <c r="AP31" s="3979"/>
      <c r="AQ31" s="622"/>
      <c r="AX31" s="1268">
        <v>0</v>
      </c>
    </row>
    <row s="8491" customFormat="1" customHeight="1" ht="18.75">
      <c r="A32" s="1481"/>
      <c r="B32" s="1481"/>
      <c r="C32" s="1481"/>
      <c r="D32" s="1481"/>
      <c r="E32" s="1481"/>
      <c r="F32" s="1481"/>
      <c r="G32" s="1481"/>
      <c r="H32" s="1481"/>
      <c r="I32" s="1481"/>
      <c r="J32" s="1481"/>
      <c r="K32" s="1481"/>
      <c r="L32" s="1482"/>
      <c r="M32" s="1481"/>
      <c r="N32" s="1481"/>
      <c r="O32" s="1481"/>
      <c r="S32" s="2363" t="s">
        <v>551</v>
      </c>
      <c r="T32" s="2363"/>
      <c r="U32" s="1485"/>
      <c r="V32" s="2377" t="str">
        <f>IF(TITLE_DATE_PR_CHANGE="",IF(TITLE_DATE_PR="","",TITLE_DATE_PR),TITLE_DATE_PR_CHANGE)</f>
        <v>45586</v>
      </c>
      <c r="W32" s="2377"/>
      <c r="X32" s="2377"/>
      <c r="Y32" s="2377"/>
      <c r="Z32" s="2377"/>
      <c r="AA32" s="2377"/>
      <c r="AB32" s="439"/>
      <c r="AC32" s="2377" t="str">
        <f>IF(TITLE_DATE_PR_CHANGE="",IF(TITLE_DATE_PR="","",TITLE_DATE_PR),TITLE_DATE_PR_CHANGE)</f>
        <v>45586</v>
      </c>
      <c r="AD32" s="2377"/>
      <c r="AE32" s="2377"/>
      <c r="AF32" s="2377"/>
      <c r="AG32" s="2377"/>
      <c r="AH32" s="2377"/>
      <c r="AI32" s="439"/>
      <c r="AJ32" s="3981" t="str">
        <f>IF(TITLE_DATE_PR_CHANGE="",IF(TITLE_DATE_PR="","",TITLE_DATE_PR),TITLE_DATE_PR_CHANGE)</f>
        <v>45586</v>
      </c>
      <c r="AK32" s="3981"/>
      <c r="AL32" s="3981"/>
      <c r="AM32" s="3981"/>
      <c r="AN32" s="3981"/>
      <c r="AO32" s="3981"/>
      <c r="AP32" s="3916"/>
      <c r="AQ32" s="439"/>
      <c r="AR32" s="393"/>
      <c r="AS32" s="481"/>
      <c r="AT32" s="481"/>
      <c r="AU32" s="481"/>
      <c r="AV32" s="481"/>
      <c r="AW32" s="481"/>
      <c r="AX32" s="531">
        <v>0</v>
      </c>
    </row>
    <row s="8491" customFormat="1" customHeight="1" ht="18.75">
      <c r="A33" s="1481"/>
      <c r="B33" s="1481"/>
      <c r="C33" s="1481"/>
      <c r="D33" s="1481"/>
      <c r="E33" s="1481"/>
      <c r="F33" s="1481"/>
      <c r="G33" s="1481"/>
      <c r="H33" s="1481"/>
      <c r="I33" s="1481"/>
      <c r="J33" s="1481"/>
      <c r="K33" s="1481"/>
      <c r="L33" s="1482"/>
      <c r="M33" s="1481"/>
      <c r="N33" s="1481"/>
      <c r="O33" s="1481"/>
      <c r="S33" s="2363" t="s">
        <v>552</v>
      </c>
      <c r="T33" s="2363"/>
      <c r="U33" s="1485"/>
      <c r="V33" s="2364" t="str">
        <f>IF(TITLE_NUMBER_PR_CHANGE="",IF(TITLE_NUMBER_PR="","",TITLE_NUMBER_PR),TITLE_NUMBER_PR_CHANGE)</f>
        <v>1577</v>
      </c>
      <c r="W33" s="2364"/>
      <c r="X33" s="2364"/>
      <c r="Y33" s="2364"/>
      <c r="Z33" s="2364"/>
      <c r="AA33" s="2364"/>
      <c r="AB33" s="439"/>
      <c r="AC33" s="2364" t="str">
        <f>IF(TITLE_NUMBER_PR_CHANGE="",IF(TITLE_NUMBER_PR="","",TITLE_NUMBER_PR),TITLE_NUMBER_PR_CHANGE)</f>
        <v>1577</v>
      </c>
      <c r="AD33" s="2364"/>
      <c r="AE33" s="2364"/>
      <c r="AF33" s="2364"/>
      <c r="AG33" s="2364"/>
      <c r="AH33" s="2364"/>
      <c r="AI33" s="439"/>
      <c r="AJ33" s="3980" t="str">
        <f>IF(TITLE_NUMBER_PR_CHANGE="",IF(TITLE_NUMBER_PR="","",TITLE_NUMBER_PR),TITLE_NUMBER_PR_CHANGE)</f>
        <v>1577</v>
      </c>
      <c r="AK33" s="3980"/>
      <c r="AL33" s="3980"/>
      <c r="AM33" s="3980"/>
      <c r="AN33" s="3980"/>
      <c r="AO33" s="3980"/>
      <c r="AP33" s="3916"/>
      <c r="AQ33" s="439"/>
      <c r="AR33" s="393"/>
      <c r="AS33" s="481"/>
      <c r="AT33" s="481"/>
      <c r="AU33" s="481"/>
      <c r="AV33" s="481"/>
      <c r="AW33" s="481"/>
      <c r="AX33" s="531">
        <v>0</v>
      </c>
    </row>
    <row s="8491"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553</v>
      </c>
      <c r="AC34" s="439"/>
      <c r="AD34" s="439"/>
      <c r="AE34" s="439"/>
      <c r="AF34" s="439"/>
      <c r="AG34" s="439"/>
      <c r="AH34" s="439"/>
      <c r="AI34" s="391" t="s">
        <v>553</v>
      </c>
      <c r="AJ34" s="3916"/>
      <c r="AK34" s="3916"/>
      <c r="AL34" s="3916"/>
      <c r="AM34" s="3916"/>
      <c r="AN34" s="3916"/>
      <c r="AO34" s="3916"/>
      <c r="AP34" s="3983" t="s">
        <v>553</v>
      </c>
      <c r="AS34" s="481"/>
      <c r="AT34" s="481"/>
      <c r="AU34" s="481"/>
      <c r="AV34" s="481"/>
      <c r="AW34" s="481"/>
      <c r="AX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3984" t="s">
        <v>105</v>
      </c>
      <c r="AK35" s="3984"/>
      <c r="AL35" s="3984"/>
      <c r="AM35" s="3984"/>
      <c r="AN35" s="3984"/>
      <c r="AO35" s="3984"/>
      <c r="AP35" s="3984"/>
      <c r="AX35" s="1268">
        <v>14</v>
      </c>
    </row>
    <row customHeight="1" ht="15">
      <c r="Q36" s="489"/>
      <c r="R36" s="489"/>
      <c r="S36" s="2240" t="s">
        <v>428</v>
      </c>
      <c r="T36" s="2240"/>
      <c r="U36" s="2240"/>
      <c r="V36" s="2240"/>
      <c r="W36" s="2240"/>
      <c r="X36" s="2240"/>
      <c r="Y36" s="2240"/>
      <c r="Z36" s="2240"/>
      <c r="AA36" s="2240"/>
      <c r="AB36" s="2240"/>
      <c r="AC36" s="2240"/>
      <c r="AD36" s="2240"/>
      <c r="AE36" s="2240"/>
      <c r="AF36" s="2240"/>
      <c r="AG36" s="2240"/>
      <c r="AH36" s="2240"/>
      <c r="AI36" s="2240"/>
      <c r="AJ36" s="3985" t="s">
        <v>428</v>
      </c>
      <c r="AK36" s="3985"/>
      <c r="AL36" s="3985"/>
      <c r="AM36" s="3985"/>
      <c r="AN36" s="3985"/>
      <c r="AO36" s="3985"/>
      <c r="AP36" s="3985"/>
      <c r="AQ36" s="2240"/>
      <c r="AR36" s="2240"/>
      <c r="AX36" s="1268"/>
    </row>
    <row customHeight="1" ht="14.699999999999998">
      <c r="Q37" s="489"/>
      <c r="R37" s="489"/>
      <c r="S37" s="2386" t="s">
        <v>88</v>
      </c>
      <c r="T37" s="2322" t="s">
        <v>554</v>
      </c>
      <c r="U37" s="414"/>
      <c r="V37" s="2387" t="s">
        <v>555</v>
      </c>
      <c r="W37" s="2388"/>
      <c r="X37" s="2388"/>
      <c r="Y37" s="2388"/>
      <c r="Z37" s="2388"/>
      <c r="AA37" s="2389"/>
      <c r="AB37" s="2390" t="s">
        <v>556</v>
      </c>
      <c r="AC37" s="2387" t="s">
        <v>555</v>
      </c>
      <c r="AD37" s="2388"/>
      <c r="AE37" s="2388"/>
      <c r="AF37" s="2388"/>
      <c r="AG37" s="2388"/>
      <c r="AH37" s="2389"/>
      <c r="AI37" s="2390" t="s">
        <v>557</v>
      </c>
      <c r="AJ37" s="3986" t="s">
        <v>555</v>
      </c>
      <c r="AK37" s="3987"/>
      <c r="AL37" s="3987"/>
      <c r="AM37" s="3987"/>
      <c r="AN37" s="3987"/>
      <c r="AO37" s="3988"/>
      <c r="AP37" s="3989" t="s">
        <v>556</v>
      </c>
      <c r="AQ37" s="2393" t="s">
        <v>558</v>
      </c>
      <c r="AR37" s="2240"/>
      <c r="AX37" s="1268">
        <v>14</v>
      </c>
    </row>
    <row customHeight="1" ht="35.699999999999996">
      <c r="Q38" s="489"/>
      <c r="R38" s="489"/>
      <c r="S38" s="2386"/>
      <c r="T38" s="2322"/>
      <c r="U38" s="1144"/>
      <c r="V38" s="1465" t="s">
        <v>614</v>
      </c>
      <c r="W38" s="2375" t="s">
        <v>561</v>
      </c>
      <c r="X38" s="2376"/>
      <c r="Y38" s="2375" t="s">
        <v>562</v>
      </c>
      <c r="Z38" s="2382"/>
      <c r="AA38" s="2376"/>
      <c r="AB38" s="2391"/>
      <c r="AC38" s="1465" t="s">
        <v>614</v>
      </c>
      <c r="AD38" s="2375" t="s">
        <v>561</v>
      </c>
      <c r="AE38" s="2376"/>
      <c r="AF38" s="2375" t="s">
        <v>562</v>
      </c>
      <c r="AG38" s="2382"/>
      <c r="AH38" s="2376"/>
      <c r="AI38" s="2391"/>
      <c r="AJ38" s="3991" t="s">
        <v>614</v>
      </c>
      <c r="AK38" s="3992" t="s">
        <v>561</v>
      </c>
      <c r="AL38" s="3993"/>
      <c r="AM38" s="3992" t="s">
        <v>562</v>
      </c>
      <c r="AN38" s="3994"/>
      <c r="AO38" s="3993"/>
      <c r="AP38" s="3995"/>
      <c r="AQ38" s="2394"/>
      <c r="AR38" s="2240"/>
      <c r="AX38" s="1268">
        <v>34</v>
      </c>
    </row>
    <row customHeight="1" ht="35.699999999999996">
      <c r="A39" s="1483"/>
      <c r="B39" s="1483" t="s">
        <v>210</v>
      </c>
      <c r="C39" s="1483" t="s">
        <v>211</v>
      </c>
      <c r="D39" s="1483" t="s">
        <v>212</v>
      </c>
      <c r="E39" s="1477" t="s">
        <v>563</v>
      </c>
      <c r="F39" s="1477" t="s">
        <v>564</v>
      </c>
      <c r="G39" s="1477" t="s">
        <v>565</v>
      </c>
      <c r="H39" s="1477"/>
      <c r="I39" s="1477" t="s">
        <v>615</v>
      </c>
      <c r="J39" s="1477" t="s">
        <v>568</v>
      </c>
      <c r="K39" s="1477" t="s">
        <v>616</v>
      </c>
      <c r="L39" s="1477" t="s">
        <v>544</v>
      </c>
      <c r="Q39" s="489"/>
      <c r="R39" s="489"/>
      <c r="S39" s="2386"/>
      <c r="T39" s="2322"/>
      <c r="U39" s="415"/>
      <c r="V39" s="1465" t="s">
        <v>617</v>
      </c>
      <c r="W39" s="1335" t="s">
        <v>618</v>
      </c>
      <c r="X39" s="1335" t="s">
        <v>619</v>
      </c>
      <c r="Y39" s="1470" t="s">
        <v>572</v>
      </c>
      <c r="Z39" s="2383" t="s">
        <v>573</v>
      </c>
      <c r="AA39" s="2384"/>
      <c r="AB39" s="2392"/>
      <c r="AC39" s="1465" t="s">
        <v>617</v>
      </c>
      <c r="AD39" s="1335" t="s">
        <v>618</v>
      </c>
      <c r="AE39" s="1335" t="s">
        <v>619</v>
      </c>
      <c r="AF39" s="1470" t="s">
        <v>572</v>
      </c>
      <c r="AG39" s="2383" t="s">
        <v>573</v>
      </c>
      <c r="AH39" s="2384"/>
      <c r="AI39" s="2392"/>
      <c r="AJ39" s="3991" t="s">
        <v>617</v>
      </c>
      <c r="AK39" s="3997" t="s">
        <v>618</v>
      </c>
      <c r="AL39" s="3997" t="s">
        <v>619</v>
      </c>
      <c r="AM39" s="3997" t="s">
        <v>572</v>
      </c>
      <c r="AN39" s="3998" t="s">
        <v>573</v>
      </c>
      <c r="AO39" s="3999"/>
      <c r="AP39" s="4000"/>
      <c r="AQ39" s="2395"/>
      <c r="AR39" s="2240"/>
      <c r="AX39" s="1268">
        <v>34</v>
      </c>
    </row>
    <row s="8962"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187</v>
      </c>
      <c r="T40" s="1368" t="s">
        <v>104</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4002">
        <f>OFFSET(AJ40,0,-1)+1</f>
        <v>15</v>
      </c>
      <c r="AK40" s="4002">
        <f>OFFSET(AK40,0,-1)+1</f>
        <v>16</v>
      </c>
      <c r="AL40" s="4002">
        <f>OFFSET(AL40,0,-1)+1</f>
        <v>17</v>
      </c>
      <c r="AM40" s="4002">
        <f>OFFSET(AM40,0,-1)+1</f>
        <v>18</v>
      </c>
      <c r="AN40" s="4002">
        <f>OFFSET(AN40,0,-1)+1</f>
        <v>19</v>
      </c>
      <c r="AO40" s="4002"/>
      <c r="AP40" s="4002">
        <f>OFFSET(AP40,0,-2)+1</f>
        <v>20</v>
      </c>
      <c r="AQ40" s="1358">
        <f>OFFSET(AQ40,0,-1)</f>
        <v>20</v>
      </c>
      <c r="AR40" s="1466">
        <f>OFFSET(AR40,0,-1)+1</f>
        <v>21</v>
      </c>
      <c r="AS40" s="624"/>
      <c r="AT40" s="624"/>
      <c r="AU40" s="624"/>
      <c r="AV40" s="624"/>
      <c r="AW40" s="624"/>
      <c r="AX40" s="609">
        <v>0</v>
      </c>
    </row>
    <row customHeight="1" ht="24">
      <c r="A41" s="1476" t="s">
        <v>295</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1</v>
      </c>
      <c r="T41" s="411" t="s">
        <v>198</v>
      </c>
      <c r="U41" s="413"/>
      <c r="V41" s="2355"/>
      <c r="W41" s="2356"/>
      <c r="X41" s="2356"/>
      <c r="Y41" s="2356"/>
      <c r="Z41" s="2356"/>
      <c r="AA41" s="2356"/>
      <c r="AB41" s="2357"/>
      <c r="AC41" s="2355" t="str">
        <f>INDEX(PT_DIFFERENTIATION_NTAR,MATCH(A41,PT_DIFFERENTIATION_NTAR_ID,0))</f>
        <v>Питьевая вода</v>
      </c>
      <c r="AD41" s="2356"/>
      <c r="AE41" s="2356"/>
      <c r="AF41" s="2356"/>
      <c r="AG41" s="2356"/>
      <c r="AH41" s="2356"/>
      <c r="AI41" s="2356"/>
      <c r="AJ41" s="3918"/>
      <c r="AK41" s="3919"/>
      <c r="AL41" s="3919"/>
      <c r="AM41" s="3919"/>
      <c r="AN41" s="3919"/>
      <c r="AO41" s="3919"/>
      <c r="AP41" s="3920"/>
      <c r="AQ41" s="2357"/>
      <c r="AR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41" s="613"/>
      <c r="AU41" s="613" t="str">
        <f>IF(T41="","",T41)</f>
        <v>Наименование тарифа</v>
      </c>
      <c r="AV41" s="613"/>
      <c r="AW41" s="613"/>
      <c r="AX41" s="1268">
        <v>23</v>
      </c>
    </row>
    <row customHeight="1" ht="24">
      <c r="A42" s="1476" t="s">
        <v>295</v>
      </c>
      <c r="B42" s="1476" t="s">
        <v>296</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1.1</v>
      </c>
      <c r="T42" s="421" t="s">
        <v>525</v>
      </c>
      <c r="U42" s="413"/>
      <c r="V42" s="2355"/>
      <c r="W42" s="2356"/>
      <c r="X42" s="2356"/>
      <c r="Y42" s="2356"/>
      <c r="Z42" s="2356"/>
      <c r="AA42" s="2356"/>
      <c r="AB42" s="2357"/>
      <c r="AC42" s="2355" t="str">
        <f>INDEX(PT_DIFFERENTIATION_TER,MATCH(B42,PT_DIFFERENTIATION_TER_ID,0))</f>
        <v>Территория 1</v>
      </c>
      <c r="AD42" s="2356"/>
      <c r="AE42" s="2356"/>
      <c r="AF42" s="2356"/>
      <c r="AG42" s="2356"/>
      <c r="AH42" s="2356"/>
      <c r="AI42" s="2356"/>
      <c r="AJ42" s="3918"/>
      <c r="AK42" s="3919"/>
      <c r="AL42" s="3919"/>
      <c r="AM42" s="3919"/>
      <c r="AN42" s="3919"/>
      <c r="AO42" s="3919"/>
      <c r="AP42" s="3920"/>
      <c r="AQ42" s="2357"/>
      <c r="AR42" s="1371" t="s">
        <v>526</v>
      </c>
      <c r="AT42" s="613"/>
      <c r="AU42" s="613" t="str">
        <f>IF(T42="","",T42)</f>
        <v>Территория действия тарифа</v>
      </c>
      <c r="AV42" s="613"/>
      <c r="AW42" s="613"/>
      <c r="AX42" s="1268">
        <v>23</v>
      </c>
    </row>
    <row customHeight="1" ht="24">
      <c r="A43" s="1476" t="s">
        <v>295</v>
      </c>
      <c r="B43" s="1476" t="s">
        <v>296</v>
      </c>
      <c r="C43" s="1476" t="s">
        <v>297</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1.1.1</v>
      </c>
      <c r="T43" s="422" t="s">
        <v>606</v>
      </c>
      <c r="U43" s="413"/>
      <c r="V43" s="2355"/>
      <c r="W43" s="2356"/>
      <c r="X43" s="2356"/>
      <c r="Y43" s="2356"/>
      <c r="Z43" s="2356"/>
      <c r="AA43" s="2356"/>
      <c r="AB43" s="2357"/>
      <c r="AC43" s="2355" t="str">
        <f>INDEX(PT_DIFFERENTIATION_CS,MATCH(C43,PT_DIFFERENTIATION_CS_ID,0))</f>
        <v>без дифференциации</v>
      </c>
      <c r="AD43" s="2356"/>
      <c r="AE43" s="2356"/>
      <c r="AF43" s="2356"/>
      <c r="AG43" s="2356"/>
      <c r="AH43" s="2356"/>
      <c r="AI43" s="2356"/>
      <c r="AJ43" s="3918"/>
      <c r="AK43" s="3919"/>
      <c r="AL43" s="3919"/>
      <c r="AM43" s="3919"/>
      <c r="AN43" s="3919"/>
      <c r="AO43" s="3919"/>
      <c r="AP43" s="3920"/>
      <c r="AQ43" s="2357"/>
      <c r="AR43" s="1371" t="s">
        <v>607</v>
      </c>
      <c r="AT43" s="613"/>
      <c r="AU43" s="613" t="str">
        <f>IF(T43="","",T43)</f>
        <v>Наименование централизованной системы холодного водоснабжения</v>
      </c>
      <c r="AV43" s="613"/>
      <c r="AW43" s="613"/>
      <c r="AX43" s="1268">
        <v>23</v>
      </c>
    </row>
    <row customHeight="1" ht="24">
      <c r="A44" s="1476" t="s">
        <v>295</v>
      </c>
      <c r="B44" s="1476" t="s">
        <v>296</v>
      </c>
      <c r="C44" s="1476" t="s">
        <v>297</v>
      </c>
      <c r="D44" s="1476" t="s">
        <v>620</v>
      </c>
      <c r="E44" s="2372"/>
      <c r="F44" s="2372"/>
      <c r="G44" s="2372"/>
      <c r="H44" s="2372"/>
      <c r="I44" s="2369" t="str">
        <f>S43&amp;".1"</f>
        <v>1.1.1.1</v>
      </c>
      <c r="J44" s="1476"/>
      <c r="K44" s="1476"/>
      <c r="L44" s="1477"/>
      <c r="P44" s="2370">
        <v>1</v>
      </c>
      <c r="Q44" s="1467"/>
      <c r="R44" s="469"/>
      <c r="S44" s="1471" t="str">
        <f>$I44</f>
        <v>1.1.1.1</v>
      </c>
      <c r="T44" s="398" t="s">
        <v>608</v>
      </c>
      <c r="U44" s="413"/>
      <c r="V44" s="2463"/>
      <c r="W44" s="2464"/>
      <c r="X44" s="2464"/>
      <c r="Y44" s="2464"/>
      <c r="Z44" s="2464"/>
      <c r="AA44" s="2464"/>
      <c r="AB44" s="2465"/>
      <c r="AC44" s="2466"/>
      <c r="AD44" s="2467"/>
      <c r="AE44" s="2467"/>
      <c r="AF44" s="2467"/>
      <c r="AG44" s="2467"/>
      <c r="AH44" s="2467"/>
      <c r="AI44" s="2467"/>
      <c r="AJ44" s="3928"/>
      <c r="AK44" s="3929"/>
      <c r="AL44" s="3929"/>
      <c r="AM44" s="3929"/>
      <c r="AN44" s="3929"/>
      <c r="AO44" s="3929"/>
      <c r="AP44" s="3930"/>
      <c r="AQ44" s="2468"/>
      <c r="AR44" s="1371" t="s">
        <v>609</v>
      </c>
      <c r="AT44" s="613"/>
      <c r="AU44" s="613" t="str">
        <f>IF(T44="","",T44)</f>
        <v>Наименование признака дифференциации</v>
      </c>
      <c r="AV44" s="613"/>
      <c r="AW44" s="613"/>
      <c r="AX44" s="1268">
        <v>23</v>
      </c>
    </row>
    <row customHeight="1" ht="24">
      <c r="A45" s="1476" t="s">
        <v>295</v>
      </c>
      <c r="B45" s="1476" t="s">
        <v>296</v>
      </c>
      <c r="C45" s="1476" t="s">
        <v>297</v>
      </c>
      <c r="D45" s="1476" t="s">
        <v>620</v>
      </c>
      <c r="E45" s="2372"/>
      <c r="F45" s="2372"/>
      <c r="G45" s="2372"/>
      <c r="H45" s="2372"/>
      <c r="I45" s="2399"/>
      <c r="J45" s="2369" t="str">
        <f>I44&amp;".1"</f>
        <v>1.1.1.1.1</v>
      </c>
      <c r="K45" s="1476"/>
      <c r="L45" s="1477" t="s">
        <v>534</v>
      </c>
      <c r="P45" s="2370"/>
      <c r="Q45" s="2370">
        <v>1</v>
      </c>
      <c r="R45" s="470"/>
      <c r="S45" s="1471" t="str">
        <f>$J45</f>
        <v>1.1.1.1.1</v>
      </c>
      <c r="T45" s="399" t="s">
        <v>535</v>
      </c>
      <c r="U45" s="413"/>
      <c r="V45" s="2358"/>
      <c r="W45" s="2359"/>
      <c r="X45" s="2359"/>
      <c r="Y45" s="2359"/>
      <c r="Z45" s="2359"/>
      <c r="AA45" s="2359"/>
      <c r="AB45" s="2360"/>
      <c r="AC45" s="2358" t="s">
        <v>621</v>
      </c>
      <c r="AD45" s="2359"/>
      <c r="AE45" s="2359"/>
      <c r="AF45" s="2359"/>
      <c r="AG45" s="2359"/>
      <c r="AH45" s="2359"/>
      <c r="AI45" s="2359"/>
      <c r="AJ45" s="3932"/>
      <c r="AK45" s="3933"/>
      <c r="AL45" s="3933"/>
      <c r="AM45" s="3933"/>
      <c r="AN45" s="3933"/>
      <c r="AO45" s="3933"/>
      <c r="AP45" s="3934"/>
      <c r="AQ45" s="2360"/>
      <c r="AR45" s="1420" t="s">
        <v>610</v>
      </c>
      <c r="AT45" s="613"/>
      <c r="AU45" s="613" t="str">
        <f>IF(T45="","",T45)</f>
        <v>Группа потребителей</v>
      </c>
      <c r="AV45" s="613"/>
      <c r="AW45" s="613"/>
      <c r="AX45" s="1268">
        <v>23</v>
      </c>
    </row>
    <row customHeight="1" ht="24">
      <c r="A46" s="1476" t="s">
        <v>295</v>
      </c>
      <c r="B46" s="1476" t="s">
        <v>296</v>
      </c>
      <c r="C46" s="1476" t="s">
        <v>297</v>
      </c>
      <c r="D46" s="1476" t="s">
        <v>620</v>
      </c>
      <c r="E46" s="2372"/>
      <c r="F46" s="2372"/>
      <c r="G46" s="2372"/>
      <c r="H46" s="2372"/>
      <c r="I46" s="2399"/>
      <c r="J46" s="2399"/>
      <c r="K46" s="2369" t="str">
        <f>J45&amp;".1"</f>
        <v>1.1.1.1.1.1</v>
      </c>
      <c r="L46" s="1477"/>
      <c r="P46" s="2370"/>
      <c r="Q46" s="2370"/>
      <c r="R46" s="470">
        <v>1</v>
      </c>
      <c r="S46" s="1471" t="str">
        <f>$K46</f>
        <v>1.1.1.1.1.1</v>
      </c>
      <c r="T46" s="1550"/>
      <c r="U46" s="413"/>
      <c r="V46" s="3936"/>
      <c r="W46" s="3936"/>
      <c r="X46" s="3937"/>
      <c r="Y46" s="3938"/>
      <c r="Z46" s="3939" t="s">
        <v>66</v>
      </c>
      <c r="AA46" s="4006"/>
      <c r="AB46" s="3939" t="s">
        <v>66</v>
      </c>
      <c r="AC46" s="864">
        <v>74.15</v>
      </c>
      <c r="AD46" s="864"/>
      <c r="AE46" s="1370"/>
      <c r="AF46" s="3938">
        <v>45658</v>
      </c>
      <c r="AG46" s="2220" t="s">
        <v>66</v>
      </c>
      <c r="AH46" s="4006">
        <v>45838</v>
      </c>
      <c r="AI46" s="2220" t="s">
        <v>66</v>
      </c>
      <c r="AJ46" s="3936">
        <v>80.08</v>
      </c>
      <c r="AK46" s="3936"/>
      <c r="AL46" s="3937"/>
      <c r="AM46" s="3938">
        <v>45839</v>
      </c>
      <c r="AN46" s="3939" t="s">
        <v>66</v>
      </c>
      <c r="AO46" s="4006">
        <v>46022</v>
      </c>
      <c r="AP46" s="3939" t="s">
        <v>66</v>
      </c>
      <c r="AQ46" s="1551"/>
      <c r="AR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624">
        <f>STRCHECKDATE(V47:AQ47)</f>
      </c>
      <c r="AT46" s="613"/>
      <c r="AU46" s="613" t="str">
        <f>IF(T46="","",T46)</f>
        <v/>
      </c>
      <c r="AV46" s="613"/>
      <c r="AW46" s="613"/>
      <c r="AX46" s="1268">
        <v>23</v>
      </c>
    </row>
    <row customHeight="1" ht="0">
      <c r="A47" s="1476" t="s">
        <v>295</v>
      </c>
      <c r="B47" s="1476" t="s">
        <v>296</v>
      </c>
      <c r="C47" s="1476" t="s">
        <v>297</v>
      </c>
      <c r="D47" s="1476" t="s">
        <v>620</v>
      </c>
      <c r="E47" s="2372"/>
      <c r="F47" s="2372"/>
      <c r="G47" s="2372"/>
      <c r="H47" s="2372"/>
      <c r="I47" s="2399"/>
      <c r="J47" s="2399"/>
      <c r="K47" s="2369"/>
      <c r="L47" s="1477"/>
      <c r="P47" s="2370"/>
      <c r="Q47" s="2370"/>
      <c r="R47" s="470"/>
      <c r="S47" s="1472"/>
      <c r="T47" s="413"/>
      <c r="U47" s="413"/>
      <c r="V47" s="3943"/>
      <c r="W47" s="3943"/>
      <c r="X47" s="3944" t="str">
        <f>Y46&amp;"-"&amp;AA46</f>
        <v>-</v>
      </c>
      <c r="Y47" s="3945"/>
      <c r="Z47" s="3939"/>
      <c r="AA47" s="4008"/>
      <c r="AB47" s="3939"/>
      <c r="AC47" s="438"/>
      <c r="AD47" s="438"/>
      <c r="AE47" s="441" t="str">
        <f>AF46&amp;"-"&amp;AH46</f>
        <v>45658-45838</v>
      </c>
      <c r="AF47" s="2379"/>
      <c r="AG47" s="2220"/>
      <c r="AH47" s="2401"/>
      <c r="AI47" s="2220"/>
      <c r="AJ47" s="3943"/>
      <c r="AK47" s="3943"/>
      <c r="AL47" s="3944" t="str">
        <f>AM46&amp;"-"&amp;AO46</f>
        <v>45839-46022</v>
      </c>
      <c r="AM47" s="3945"/>
      <c r="AN47" s="3939"/>
      <c r="AO47" s="4008"/>
      <c r="AP47" s="3939"/>
      <c r="AQ47" s="1552"/>
      <c r="AR47" s="2462"/>
      <c r="AT47" s="613"/>
      <c r="AU47" s="613" t="str">
        <f>IF(T47="","",T47)</f>
        <v/>
      </c>
      <c r="AV47" s="613"/>
      <c r="AW47" s="613"/>
      <c r="AX47" s="1268">
        <v>0</v>
      </c>
    </row>
    <row customHeight="1" ht="21">
      <c r="A48" s="1476" t="s">
        <v>295</v>
      </c>
      <c r="B48" s="1476" t="s">
        <v>296</v>
      </c>
      <c r="C48" s="1476" t="s">
        <v>297</v>
      </c>
      <c r="D48" s="1476" t="s">
        <v>620</v>
      </c>
      <c r="E48" s="2372"/>
      <c r="F48" s="2372"/>
      <c r="G48" s="2372"/>
      <c r="H48" s="2372"/>
      <c r="I48" s="2399"/>
      <c r="J48" s="2369"/>
      <c r="K48" s="1476"/>
      <c r="L48" s="1477"/>
      <c r="P48" s="2370"/>
      <c r="Q48" s="2370"/>
      <c r="R48" s="469"/>
      <c r="S48" s="1391"/>
      <c r="T48" s="400" t="s">
        <v>611</v>
      </c>
      <c r="U48" s="480"/>
      <c r="V48" s="480"/>
      <c r="W48" s="480"/>
      <c r="X48" s="480"/>
      <c r="Y48" s="480"/>
      <c r="Z48" s="480"/>
      <c r="AA48" s="480"/>
      <c r="AB48" s="480"/>
      <c r="AC48" s="480"/>
      <c r="AD48" s="480"/>
      <c r="AE48" s="480"/>
      <c r="AF48" s="480"/>
      <c r="AG48" s="480"/>
      <c r="AH48" s="480"/>
      <c r="AI48" s="480"/>
      <c r="AJ48" s="4009"/>
      <c r="AK48" s="4010"/>
      <c r="AL48" s="4011"/>
      <c r="AM48" s="4012"/>
      <c r="AN48" s="4013"/>
      <c r="AO48" s="4014"/>
      <c r="AP48" s="4015"/>
      <c r="AQ48" s="480"/>
      <c r="AR48" s="1371" t="s">
        <v>612</v>
      </c>
      <c r="AT48" s="613"/>
      <c r="AU48" s="613" t="str">
        <f>IF(T48="","",T48)</f>
        <v>Добавить значение признака дифференциации</v>
      </c>
      <c r="AV48" s="613"/>
      <c r="AW48" s="613"/>
      <c r="AX48" s="1268">
        <v>20</v>
      </c>
    </row>
    <row s="9491" customFormat="1" customHeight="1" ht="23.25">
      <c r="A49" s="4017"/>
      <c r="B49" s="4017"/>
      <c r="C49" s="4017"/>
      <c r="D49" s="4017"/>
      <c r="E49" s="4018"/>
      <c r="F49" s="4018"/>
      <c r="G49" s="4018"/>
      <c r="H49" s="4018"/>
      <c r="I49" s="4019"/>
      <c r="J49" s="4020" t="str">
        <f>I44&amp;".2"</f>
        <v>1.1.1.1.2</v>
      </c>
      <c r="K49" s="4017"/>
      <c r="L49" s="4021" t="s">
        <v>534</v>
      </c>
      <c r="M49" s="4022"/>
      <c r="N49" s="4022"/>
      <c r="O49" s="4022"/>
      <c r="P49" s="4023"/>
      <c r="Q49" s="4024" t="s">
        <v>105</v>
      </c>
      <c r="R49" s="4025"/>
      <c r="S49" s="4026" t="str">
        <f>$J49</f>
        <v>1.1.1.1.2</v>
      </c>
      <c r="T49" s="4027" t="s">
        <v>535</v>
      </c>
      <c r="U49" s="4028"/>
      <c r="V49" s="3932"/>
      <c r="W49" s="3933"/>
      <c r="X49" s="3933"/>
      <c r="Y49" s="3933"/>
      <c r="Z49" s="3933"/>
      <c r="AA49" s="3933"/>
      <c r="AB49" s="3934"/>
      <c r="AC49" s="3932" t="s">
        <v>622</v>
      </c>
      <c r="AD49" s="3933"/>
      <c r="AE49" s="3933"/>
      <c r="AF49" s="3933"/>
      <c r="AG49" s="3933"/>
      <c r="AH49" s="3933"/>
      <c r="AI49" s="3933"/>
      <c r="AJ49" s="3932"/>
      <c r="AK49" s="3933"/>
      <c r="AL49" s="3933"/>
      <c r="AM49" s="3933"/>
      <c r="AN49" s="3933"/>
      <c r="AO49" s="3933"/>
      <c r="AP49" s="3934"/>
      <c r="AQ49" s="3934"/>
      <c r="AR49" s="4029" t="s">
        <v>610</v>
      </c>
      <c r="AS49" s="3983"/>
      <c r="AT49" s="4030"/>
      <c r="AU49" s="4030" t="str">
        <f>IF(T49="","",T49)</f>
        <v>Группа потребителей</v>
      </c>
      <c r="AV49" s="4030"/>
      <c r="AW49" s="4030"/>
      <c r="AX49" s="3916">
        <v>0</v>
      </c>
    </row>
    <row s="9506" customFormat="1" customHeight="1" ht="23.25">
      <c r="A50" s="4017"/>
      <c r="B50" s="4017"/>
      <c r="C50" s="4017"/>
      <c r="D50" s="4017"/>
      <c r="E50" s="4018"/>
      <c r="F50" s="4018"/>
      <c r="G50" s="4018"/>
      <c r="H50" s="4018"/>
      <c r="I50" s="4019"/>
      <c r="J50" s="4019" t="str">
        <f>I44&amp;".1"</f>
        <v>1.1.1.1.1</v>
      </c>
      <c r="K50" s="4020" t="str">
        <f>J49&amp;".1"</f>
        <v>1.1.1.1.2.1</v>
      </c>
      <c r="L50" s="4021"/>
      <c r="M50" s="4022"/>
      <c r="N50" s="4022"/>
      <c r="O50" s="4022"/>
      <c r="P50" s="4023"/>
      <c r="Q50" s="4023"/>
      <c r="R50" s="4025">
        <v>1</v>
      </c>
      <c r="S50" s="4026" t="str">
        <f>$K50</f>
        <v>1.1.1.1.2.1</v>
      </c>
      <c r="T50" s="4032"/>
      <c r="U50" s="4028"/>
      <c r="V50" s="3936"/>
      <c r="W50" s="3936"/>
      <c r="X50" s="3937"/>
      <c r="Y50" s="3938"/>
      <c r="Z50" s="3939" t="s">
        <v>66</v>
      </c>
      <c r="AA50" s="3938"/>
      <c r="AB50" s="3939" t="s">
        <v>66</v>
      </c>
      <c r="AC50" s="3936">
        <v>70.62</v>
      </c>
      <c r="AD50" s="3936"/>
      <c r="AE50" s="3937"/>
      <c r="AF50" s="3938">
        <v>45658</v>
      </c>
      <c r="AG50" s="3939" t="s">
        <v>66</v>
      </c>
      <c r="AH50" s="4006">
        <v>45838</v>
      </c>
      <c r="AI50" s="3939" t="s">
        <v>66</v>
      </c>
      <c r="AJ50" s="3936">
        <v>100.97</v>
      </c>
      <c r="AK50" s="3936"/>
      <c r="AL50" s="3937"/>
      <c r="AM50" s="3938">
        <v>45839</v>
      </c>
      <c r="AN50" s="3939" t="s">
        <v>66</v>
      </c>
      <c r="AO50" s="3938">
        <v>46022</v>
      </c>
      <c r="AP50" s="3939" t="s">
        <v>66</v>
      </c>
      <c r="AQ50" s="4033"/>
      <c r="AR50" s="4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0" s="3983">
        <f>STRCHECKDATE(V51:AQ51)</f>
      </c>
      <c r="AT50" s="4030"/>
      <c r="AU50" s="4030" t="str">
        <f>IF(T50="","",T50)</f>
        <v/>
      </c>
      <c r="AV50" s="4030"/>
      <c r="AW50" s="4030"/>
      <c r="AX50" s="3916">
        <v>0</v>
      </c>
    </row>
    <row s="9510" customFormat="1" customHeight="1" ht="14.25">
      <c r="A51" s="4017"/>
      <c r="B51" s="4017"/>
      <c r="C51" s="4017"/>
      <c r="D51" s="4017"/>
      <c r="E51" s="4018"/>
      <c r="F51" s="4018"/>
      <c r="G51" s="4018"/>
      <c r="H51" s="4018"/>
      <c r="I51" s="4019"/>
      <c r="J51" s="4019" t="str">
        <f>I44&amp;".1"</f>
        <v>1.1.1.1.1</v>
      </c>
      <c r="K51" s="4020"/>
      <c r="L51" s="4021"/>
      <c r="M51" s="4022"/>
      <c r="N51" s="4022"/>
      <c r="O51" s="4022"/>
      <c r="P51" s="4023"/>
      <c r="Q51" s="4023"/>
      <c r="R51" s="4025"/>
      <c r="S51" s="4036"/>
      <c r="T51" s="4028"/>
      <c r="U51" s="4028"/>
      <c r="V51" s="3943"/>
      <c r="W51" s="3943"/>
      <c r="X51" s="3944" t="str">
        <f>Y50&amp;"-"&amp;AA50</f>
        <v>-</v>
      </c>
      <c r="Y51" s="3945"/>
      <c r="Z51" s="3939"/>
      <c r="AA51" s="3945"/>
      <c r="AB51" s="3939"/>
      <c r="AC51" s="3943"/>
      <c r="AD51" s="3943"/>
      <c r="AE51" s="3944" t="str">
        <f>AF50&amp;"-"&amp;AH50</f>
        <v>45658-45838</v>
      </c>
      <c r="AF51" s="3945"/>
      <c r="AG51" s="3939"/>
      <c r="AH51" s="4008"/>
      <c r="AI51" s="3939"/>
      <c r="AJ51" s="3943"/>
      <c r="AK51" s="3943"/>
      <c r="AL51" s="3944" t="str">
        <f>AM50&amp;"-"&amp;AO50</f>
        <v>45839-46022</v>
      </c>
      <c r="AM51" s="3945"/>
      <c r="AN51" s="3939"/>
      <c r="AO51" s="3945"/>
      <c r="AP51" s="3939"/>
      <c r="AQ51" s="4037"/>
      <c r="AR51" s="4034"/>
      <c r="AS51" s="3983"/>
      <c r="AT51" s="4030"/>
      <c r="AU51" s="4030" t="str">
        <f>IF(T51="","",T51)</f>
        <v/>
      </c>
      <c r="AV51" s="4030"/>
      <c r="AW51" s="4030"/>
      <c r="AX51" s="3916">
        <v>0</v>
      </c>
    </row>
    <row s="9513" customFormat="1" customHeight="1" ht="21">
      <c r="A52" s="4017"/>
      <c r="B52" s="4017"/>
      <c r="C52" s="4017"/>
      <c r="D52" s="4017"/>
      <c r="E52" s="4018"/>
      <c r="F52" s="4018"/>
      <c r="G52" s="4018"/>
      <c r="H52" s="4018"/>
      <c r="I52" s="4019"/>
      <c r="J52" s="4020" t="str">
        <f>I44&amp;".1"</f>
        <v>1.1.1.1.1</v>
      </c>
      <c r="K52" s="4017"/>
      <c r="L52" s="4021"/>
      <c r="M52" s="4022"/>
      <c r="N52" s="4022"/>
      <c r="O52" s="4022"/>
      <c r="P52" s="4023"/>
      <c r="Q52" s="4023"/>
      <c r="R52" s="4039"/>
      <c r="S52" s="4040"/>
      <c r="T52" s="4041" t="s">
        <v>611</v>
      </c>
      <c r="U52" s="4042"/>
      <c r="V52" s="4043"/>
      <c r="W52" s="4044"/>
      <c r="X52" s="4045"/>
      <c r="Y52" s="4046"/>
      <c r="Z52" s="4047"/>
      <c r="AA52" s="4048"/>
      <c r="AB52" s="4049"/>
      <c r="AC52" s="4050"/>
      <c r="AD52" s="4051"/>
      <c r="AE52" s="4052"/>
      <c r="AF52" s="4053"/>
      <c r="AG52" s="4054"/>
      <c r="AH52" s="4055"/>
      <c r="AI52" s="4056"/>
      <c r="AJ52" s="4057"/>
      <c r="AK52" s="4058"/>
      <c r="AL52" s="4059"/>
      <c r="AM52" s="4060"/>
      <c r="AN52" s="4061"/>
      <c r="AO52" s="4062"/>
      <c r="AP52" s="4063"/>
      <c r="AQ52" s="4064"/>
      <c r="AR52" s="4065" t="s">
        <v>612</v>
      </c>
      <c r="AS52" s="3983"/>
      <c r="AT52" s="4030"/>
      <c r="AU52" s="4030" t="str">
        <f>IF(T52="","",T52)</f>
        <v>Добавить значение признака дифференциации</v>
      </c>
      <c r="AV52" s="4030"/>
      <c r="AW52" s="4030"/>
      <c r="AX52" s="3916">
        <v>0</v>
      </c>
    </row>
    <row s="9541" customFormat="1" customHeight="1" ht="23.25">
      <c r="A53" s="4017"/>
      <c r="B53" s="4017"/>
      <c r="C53" s="4017"/>
      <c r="D53" s="4017"/>
      <c r="E53" s="4018"/>
      <c r="F53" s="4018"/>
      <c r="G53" s="4018"/>
      <c r="H53" s="4018"/>
      <c r="I53" s="4019"/>
      <c r="J53" s="4020" t="str">
        <f>I44&amp;".3"</f>
        <v>1.1.1.1.3</v>
      </c>
      <c r="K53" s="4017"/>
      <c r="L53" s="4021" t="s">
        <v>534</v>
      </c>
      <c r="M53" s="4022"/>
      <c r="N53" s="4022"/>
      <c r="O53" s="4022"/>
      <c r="P53" s="4023"/>
      <c r="Q53" s="4024" t="s">
        <v>105</v>
      </c>
      <c r="R53" s="4025"/>
      <c r="S53" s="4026" t="str">
        <f>$J53</f>
        <v>1.1.1.1.3</v>
      </c>
      <c r="T53" s="4027" t="s">
        <v>535</v>
      </c>
      <c r="U53" s="4028"/>
      <c r="V53" s="3932"/>
      <c r="W53" s="3933"/>
      <c r="X53" s="3933"/>
      <c r="Y53" s="3933"/>
      <c r="Z53" s="3933"/>
      <c r="AA53" s="3933"/>
      <c r="AB53" s="3934"/>
      <c r="AC53" s="3932" t="s">
        <v>623</v>
      </c>
      <c r="AD53" s="3933"/>
      <c r="AE53" s="3933"/>
      <c r="AF53" s="3933"/>
      <c r="AG53" s="3933"/>
      <c r="AH53" s="3933"/>
      <c r="AI53" s="3933"/>
      <c r="AJ53" s="3932"/>
      <c r="AK53" s="3933"/>
      <c r="AL53" s="3933"/>
      <c r="AM53" s="3933"/>
      <c r="AN53" s="3933"/>
      <c r="AO53" s="3933"/>
      <c r="AP53" s="3934"/>
      <c r="AQ53" s="3934"/>
      <c r="AR53" s="4029" t="s">
        <v>610</v>
      </c>
      <c r="AS53" s="3983"/>
      <c r="AT53" s="4030"/>
      <c r="AU53" s="4030" t="str">
        <f>IF(T53="","",T53)</f>
        <v>Группа потребителей</v>
      </c>
      <c r="AV53" s="4030"/>
      <c r="AW53" s="4030"/>
      <c r="AX53" s="3916">
        <v>0</v>
      </c>
    </row>
    <row s="9542" customFormat="1" customHeight="1" ht="23.25">
      <c r="A54" s="4017"/>
      <c r="B54" s="4017"/>
      <c r="C54" s="4017"/>
      <c r="D54" s="4017"/>
      <c r="E54" s="4018"/>
      <c r="F54" s="4018"/>
      <c r="G54" s="4018"/>
      <c r="H54" s="4018"/>
      <c r="I54" s="4019"/>
      <c r="J54" s="4019" t="str">
        <f>I44&amp;".2"</f>
        <v>1.1.1.1.2</v>
      </c>
      <c r="K54" s="4020" t="str">
        <f>J53&amp;".1"</f>
        <v>1.1.1.1.3.1</v>
      </c>
      <c r="L54" s="4021"/>
      <c r="M54" s="4022"/>
      <c r="N54" s="4022"/>
      <c r="O54" s="4022"/>
      <c r="P54" s="4023"/>
      <c r="Q54" s="4023"/>
      <c r="R54" s="4025">
        <v>1</v>
      </c>
      <c r="S54" s="4026" t="str">
        <f>$K54</f>
        <v>1.1.1.1.3.1</v>
      </c>
      <c r="T54" s="4032"/>
      <c r="U54" s="4028"/>
      <c r="V54" s="3936"/>
      <c r="W54" s="3936"/>
      <c r="X54" s="3937"/>
      <c r="Y54" s="3938"/>
      <c r="Z54" s="3939" t="s">
        <v>66</v>
      </c>
      <c r="AA54" s="3938"/>
      <c r="AB54" s="3939" t="s">
        <v>66</v>
      </c>
      <c r="AC54" s="3936">
        <v>70.62</v>
      </c>
      <c r="AD54" s="3936"/>
      <c r="AE54" s="3937"/>
      <c r="AF54" s="3938">
        <v>45658</v>
      </c>
      <c r="AG54" s="3939" t="s">
        <v>66</v>
      </c>
      <c r="AH54" s="4006">
        <v>45838</v>
      </c>
      <c r="AI54" s="3939" t="s">
        <v>66</v>
      </c>
      <c r="AJ54" s="3936">
        <v>100.97</v>
      </c>
      <c r="AK54" s="3936"/>
      <c r="AL54" s="3937"/>
      <c r="AM54" s="3938">
        <v>45839</v>
      </c>
      <c r="AN54" s="3939" t="s">
        <v>66</v>
      </c>
      <c r="AO54" s="3938">
        <v>46022</v>
      </c>
      <c r="AP54" s="3939" t="s">
        <v>66</v>
      </c>
      <c r="AQ54" s="4033"/>
      <c r="AR54" s="4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4" s="3983">
        <f>STRCHECKDATE(V55:AQ55)</f>
      </c>
      <c r="AT54" s="4030"/>
      <c r="AU54" s="4030" t="str">
        <f>IF(T54="","",T54)</f>
        <v/>
      </c>
      <c r="AV54" s="4030"/>
      <c r="AW54" s="4030"/>
      <c r="AX54" s="3916">
        <v>0</v>
      </c>
    </row>
    <row s="9543" customFormat="1" customHeight="1" ht="14.25">
      <c r="A55" s="4017"/>
      <c r="B55" s="4017"/>
      <c r="C55" s="4017"/>
      <c r="D55" s="4017"/>
      <c r="E55" s="4018"/>
      <c r="F55" s="4018"/>
      <c r="G55" s="4018"/>
      <c r="H55" s="4018"/>
      <c r="I55" s="4019"/>
      <c r="J55" s="4019" t="str">
        <f>I44&amp;".2"</f>
        <v>1.1.1.1.2</v>
      </c>
      <c r="K55" s="4020"/>
      <c r="L55" s="4021"/>
      <c r="M55" s="4022"/>
      <c r="N55" s="4022"/>
      <c r="O55" s="4022"/>
      <c r="P55" s="4023"/>
      <c r="Q55" s="4023"/>
      <c r="R55" s="4025"/>
      <c r="S55" s="4036"/>
      <c r="T55" s="4028"/>
      <c r="U55" s="4028"/>
      <c r="V55" s="3943"/>
      <c r="W55" s="3943"/>
      <c r="X55" s="3944" t="str">
        <f>Y54&amp;"-"&amp;AA54</f>
        <v>-</v>
      </c>
      <c r="Y55" s="3945"/>
      <c r="Z55" s="3939"/>
      <c r="AA55" s="3945"/>
      <c r="AB55" s="3939"/>
      <c r="AC55" s="3943"/>
      <c r="AD55" s="3943"/>
      <c r="AE55" s="3944" t="str">
        <f>AF54&amp;"-"&amp;AH54</f>
        <v>45658-45838</v>
      </c>
      <c r="AF55" s="3945"/>
      <c r="AG55" s="3939"/>
      <c r="AH55" s="4008"/>
      <c r="AI55" s="3939"/>
      <c r="AJ55" s="3943"/>
      <c r="AK55" s="3943"/>
      <c r="AL55" s="3944" t="str">
        <f>AM54&amp;"-"&amp;AO54</f>
        <v>45839-46022</v>
      </c>
      <c r="AM55" s="3945"/>
      <c r="AN55" s="3939"/>
      <c r="AO55" s="3945"/>
      <c r="AP55" s="3939"/>
      <c r="AQ55" s="4037"/>
      <c r="AR55" s="4034"/>
      <c r="AS55" s="3983"/>
      <c r="AT55" s="4030"/>
      <c r="AU55" s="4030" t="str">
        <f>IF(T55="","",T55)</f>
        <v/>
      </c>
      <c r="AV55" s="4030"/>
      <c r="AW55" s="4030"/>
      <c r="AX55" s="3916">
        <v>0</v>
      </c>
    </row>
    <row s="9544" customFormat="1" customHeight="1" ht="21">
      <c r="A56" s="4017"/>
      <c r="B56" s="4017"/>
      <c r="C56" s="4017"/>
      <c r="D56" s="4017"/>
      <c r="E56" s="4018"/>
      <c r="F56" s="4018"/>
      <c r="G56" s="4018"/>
      <c r="H56" s="4018"/>
      <c r="I56" s="4019"/>
      <c r="J56" s="4020" t="str">
        <f>I44&amp;".2"</f>
        <v>1.1.1.1.2</v>
      </c>
      <c r="K56" s="4017"/>
      <c r="L56" s="4021"/>
      <c r="M56" s="4022"/>
      <c r="N56" s="4022"/>
      <c r="O56" s="4022"/>
      <c r="P56" s="4023"/>
      <c r="Q56" s="4023"/>
      <c r="R56" s="4039"/>
      <c r="S56" s="4070"/>
      <c r="T56" s="4071" t="s">
        <v>611</v>
      </c>
      <c r="U56" s="4072"/>
      <c r="V56" s="4073"/>
      <c r="W56" s="4074"/>
      <c r="X56" s="4075"/>
      <c r="Y56" s="4076"/>
      <c r="Z56" s="4077"/>
      <c r="AA56" s="4078"/>
      <c r="AB56" s="4079"/>
      <c r="AC56" s="4080"/>
      <c r="AD56" s="4081"/>
      <c r="AE56" s="4082"/>
      <c r="AF56" s="4083"/>
      <c r="AG56" s="4084"/>
      <c r="AH56" s="4085"/>
      <c r="AI56" s="4086"/>
      <c r="AJ56" s="4087"/>
      <c r="AK56" s="4088"/>
      <c r="AL56" s="4089"/>
      <c r="AM56" s="4090"/>
      <c r="AN56" s="4091"/>
      <c r="AO56" s="4092"/>
      <c r="AP56" s="4093"/>
      <c r="AQ56" s="4094"/>
      <c r="AR56" s="4065" t="s">
        <v>612</v>
      </c>
      <c r="AS56" s="3983"/>
      <c r="AT56" s="4030"/>
      <c r="AU56" s="4030" t="str">
        <f>IF(T56="","",T56)</f>
        <v>Добавить значение признака дифференциации</v>
      </c>
      <c r="AV56" s="4030"/>
      <c r="AW56" s="4030"/>
      <c r="AX56" s="3916">
        <v>0</v>
      </c>
    </row>
    <row customHeight="1" ht="22.049999999999997">
      <c r="A57" s="1476" t="s">
        <v>295</v>
      </c>
      <c r="B57" s="1476" t="s">
        <v>296</v>
      </c>
      <c r="C57" s="1476" t="s">
        <v>297</v>
      </c>
      <c r="D57" s="1476" t="s">
        <v>620</v>
      </c>
      <c r="E57" s="2372"/>
      <c r="F57" s="2372"/>
      <c r="G57" s="2372"/>
      <c r="H57" s="2372"/>
      <c r="I57" s="2369"/>
      <c r="J57" s="1476"/>
      <c r="K57" s="1476"/>
      <c r="L57" s="1477"/>
      <c r="P57" s="2370"/>
      <c r="Q57" s="1467"/>
      <c r="R57" s="469"/>
      <c r="S57" s="1391"/>
      <c r="T57" s="478" t="s">
        <v>540</v>
      </c>
      <c r="U57" s="480"/>
      <c r="V57" s="480"/>
      <c r="W57" s="480"/>
      <c r="X57" s="480"/>
      <c r="Y57" s="480"/>
      <c r="Z57" s="480"/>
      <c r="AA57" s="480"/>
      <c r="AB57" s="479"/>
      <c r="AC57" s="480"/>
      <c r="AD57" s="480"/>
      <c r="AE57" s="480"/>
      <c r="AF57" s="480"/>
      <c r="AG57" s="480"/>
      <c r="AH57" s="480"/>
      <c r="AI57" s="479"/>
      <c r="AJ57" s="4095"/>
      <c r="AK57" s="4096"/>
      <c r="AL57" s="4097"/>
      <c r="AM57" s="4098"/>
      <c r="AN57" s="4099"/>
      <c r="AO57" s="4100"/>
      <c r="AP57" s="4101"/>
      <c r="AQ57" s="480"/>
      <c r="AR57" s="1553"/>
      <c r="AT57" s="613"/>
      <c r="AU57" s="613" t="str">
        <f>IF(T57="","",T57)</f>
        <v>Добавить группу потребителей</v>
      </c>
      <c r="AV57" s="613"/>
      <c r="AW57" s="613"/>
      <c r="AX57" s="1268">
        <v>21</v>
      </c>
    </row>
    <row customHeight="1" ht="22.049999999999997">
      <c r="A58" s="1476" t="s">
        <v>295</v>
      </c>
      <c r="B58" s="1476" t="s">
        <v>296</v>
      </c>
      <c r="C58" s="1476" t="s">
        <v>297</v>
      </c>
      <c r="D58" s="1476" t="s">
        <v>620</v>
      </c>
      <c r="E58" s="2372"/>
      <c r="F58" s="2372"/>
      <c r="G58" s="2372"/>
      <c r="H58" s="2371"/>
      <c r="I58" s="1476"/>
      <c r="J58" s="1476"/>
      <c r="K58" s="1476"/>
      <c r="L58" s="1477"/>
      <c r="M58" s="1478"/>
      <c r="N58" s="1478"/>
      <c r="O58" s="650"/>
      <c r="P58" s="473"/>
      <c r="Q58" s="488"/>
      <c r="R58" s="468"/>
      <c r="S58" s="1391"/>
      <c r="T58" s="485" t="s">
        <v>613</v>
      </c>
      <c r="U58" s="480"/>
      <c r="V58" s="480"/>
      <c r="W58" s="480"/>
      <c r="X58" s="480"/>
      <c r="Y58" s="480"/>
      <c r="Z58" s="480"/>
      <c r="AA58" s="480"/>
      <c r="AB58" s="479"/>
      <c r="AC58" s="480"/>
      <c r="AD58" s="480"/>
      <c r="AE58" s="480"/>
      <c r="AF58" s="480"/>
      <c r="AG58" s="480"/>
      <c r="AH58" s="480"/>
      <c r="AI58" s="479"/>
      <c r="AJ58" s="4102"/>
      <c r="AK58" s="4103"/>
      <c r="AL58" s="4104"/>
      <c r="AM58" s="4105"/>
      <c r="AN58" s="4106"/>
      <c r="AO58" s="4107"/>
      <c r="AP58" s="4108"/>
      <c r="AQ58" s="480"/>
      <c r="AR58" s="416"/>
      <c r="AT58" s="613"/>
      <c r="AU58" s="613" t="str">
        <f>IF(T58="","",T58)</f>
        <v>Добавить наименование признака дифференциации</v>
      </c>
      <c r="AV58" s="613"/>
      <c r="AW58" s="613"/>
      <c r="AX58" s="1268">
        <v>21</v>
      </c>
    </row>
    <row s="8355" customFormat="1" customHeight="1" ht="0">
      <c r="A59" s="1456" t="s">
        <v>295</v>
      </c>
      <c r="B59" s="1456" t="s">
        <v>296</v>
      </c>
      <c r="C59" s="1427"/>
      <c r="D59" s="1427"/>
      <c r="E59" s="2372"/>
      <c r="F59" s="2371"/>
      <c r="G59" s="1427"/>
      <c r="H59" s="1427"/>
      <c r="I59" s="1427"/>
      <c r="J59" s="1427"/>
      <c r="K59" s="1427"/>
      <c r="L59" s="1539"/>
      <c r="M59" s="1434"/>
      <c r="N59" s="1434"/>
      <c r="P59" s="1429"/>
      <c r="Q59" s="1430"/>
      <c r="R59" s="1429"/>
      <c r="S59" s="1435"/>
      <c r="T59" s="1438" t="s">
        <v>298</v>
      </c>
      <c r="U59" s="1437"/>
      <c r="V59" s="1437"/>
      <c r="W59" s="1437"/>
      <c r="X59" s="1437"/>
      <c r="Y59" s="1437"/>
      <c r="Z59" s="1437"/>
      <c r="AA59" s="1437"/>
      <c r="AB59" s="1437"/>
      <c r="AC59" s="1437"/>
      <c r="AD59" s="1437"/>
      <c r="AE59" s="1437"/>
      <c r="AF59" s="1437"/>
      <c r="AG59" s="1437"/>
      <c r="AH59" s="1437"/>
      <c r="AI59" s="1437"/>
      <c r="AJ59" s="3971"/>
      <c r="AK59" s="3971"/>
      <c r="AL59" s="3971"/>
      <c r="AM59" s="3971"/>
      <c r="AN59" s="3971"/>
      <c r="AO59" s="3971"/>
      <c r="AP59" s="3971"/>
      <c r="AQ59" s="1437"/>
      <c r="AR59" s="1437"/>
      <c r="AT59" s="902"/>
      <c r="AU59" s="902" t="str">
        <f>IF(T59="","",T59)</f>
        <v>Добавить централизованную систему для дифференциации</v>
      </c>
      <c r="AV59" s="902"/>
      <c r="AW59" s="902"/>
      <c r="AX59" s="631">
        <v>0</v>
      </c>
    </row>
    <row s="9584" customFormat="1" customHeight="1" ht="23.25">
      <c r="A60" s="4017"/>
      <c r="B60" s="4017" t="s">
        <v>299</v>
      </c>
      <c r="C60" s="4017"/>
      <c r="D60" s="4017"/>
      <c r="E60" s="4018"/>
      <c r="F60" s="4110" t="s">
        <v>104</v>
      </c>
      <c r="G60" s="4017"/>
      <c r="H60" s="4017"/>
      <c r="I60" s="4017"/>
      <c r="J60" s="4017"/>
      <c r="K60" s="4017"/>
      <c r="L60" s="4021"/>
      <c r="M60" s="4111"/>
      <c r="N60" s="4111"/>
      <c r="O60" s="4111"/>
      <c r="P60" s="4112"/>
      <c r="Q60" s="4113"/>
      <c r="R60" s="4114"/>
      <c r="S60" s="4026" t="str">
        <f>INDEX(PT_DIFFERENTIATION_NUM_TER,MATCH(B60,PT_DIFFERENTIATION_TER_ID,0))</f>
        <v>1.2</v>
      </c>
      <c r="T60" s="4115" t="s">
        <v>525</v>
      </c>
      <c r="U60" s="4028"/>
      <c r="V60" s="3918"/>
      <c r="W60" s="3919"/>
      <c r="X60" s="3919"/>
      <c r="Y60" s="3919"/>
      <c r="Z60" s="3919"/>
      <c r="AA60" s="3919"/>
      <c r="AB60" s="3920"/>
      <c r="AC60" s="3918" t="str">
        <f>INDEX(PT_DIFFERENTIATION_TER,MATCH(B60,PT_DIFFERENTIATION_TER_ID,0))</f>
        <v>Территория 2</v>
      </c>
      <c r="AD60" s="3919"/>
      <c r="AE60" s="3919"/>
      <c r="AF60" s="3919"/>
      <c r="AG60" s="3919"/>
      <c r="AH60" s="3919"/>
      <c r="AI60" s="3919"/>
      <c r="AJ60" s="3918"/>
      <c r="AK60" s="3919"/>
      <c r="AL60" s="3919"/>
      <c r="AM60" s="3919"/>
      <c r="AN60" s="3919"/>
      <c r="AO60" s="3919"/>
      <c r="AP60" s="3920"/>
      <c r="AQ60" s="3920"/>
      <c r="AR60" s="4065" t="s">
        <v>526</v>
      </c>
      <c r="AS60" s="3983"/>
      <c r="AT60" s="4030"/>
      <c r="AU60" s="4030" t="str">
        <f>IF(T60="","",T60)</f>
        <v>Территория действия тарифа</v>
      </c>
      <c r="AV60" s="4030"/>
      <c r="AW60" s="4030"/>
      <c r="AX60" s="3916">
        <v>0</v>
      </c>
    </row>
    <row s="9591" customFormat="1" customHeight="1" ht="23.25">
      <c r="A61" s="4017"/>
      <c r="B61" s="4017"/>
      <c r="C61" s="4017" t="s">
        <v>300</v>
      </c>
      <c r="D61" s="4017"/>
      <c r="E61" s="4018"/>
      <c r="F61" s="4018">
        <v>1</v>
      </c>
      <c r="G61" s="4110">
        <v>1</v>
      </c>
      <c r="H61" s="4017"/>
      <c r="I61" s="4017"/>
      <c r="J61" s="4017"/>
      <c r="K61" s="4017"/>
      <c r="L61" s="4021"/>
      <c r="M61" s="4111"/>
      <c r="N61" s="4111"/>
      <c r="O61" s="4111"/>
      <c r="P61" s="4117"/>
      <c r="Q61" s="4113"/>
      <c r="R61" s="4114"/>
      <c r="S61" s="4026" t="str">
        <f>INDEX(PT_DIFFERENTIATION_NUM_CS,MATCH(C61,PT_DIFFERENTIATION_CS_ID,0))</f>
        <v>1.2.1</v>
      </c>
      <c r="T61" s="4118" t="s">
        <v>606</v>
      </c>
      <c r="U61" s="4028"/>
      <c r="V61" s="3918"/>
      <c r="W61" s="3919"/>
      <c r="X61" s="3919"/>
      <c r="Y61" s="3919"/>
      <c r="Z61" s="3919"/>
      <c r="AA61" s="3919"/>
      <c r="AB61" s="3920"/>
      <c r="AC61" s="3918" t="str">
        <f>INDEX(PT_DIFFERENTIATION_CS,MATCH(C61,PT_DIFFERENTIATION_CS_ID,0))</f>
        <v>без дифференциации</v>
      </c>
      <c r="AD61" s="3919"/>
      <c r="AE61" s="3919"/>
      <c r="AF61" s="3919"/>
      <c r="AG61" s="3919"/>
      <c r="AH61" s="3919"/>
      <c r="AI61" s="3919"/>
      <c r="AJ61" s="3918"/>
      <c r="AK61" s="3919"/>
      <c r="AL61" s="3919"/>
      <c r="AM61" s="3919"/>
      <c r="AN61" s="3919"/>
      <c r="AO61" s="3919"/>
      <c r="AP61" s="3920"/>
      <c r="AQ61" s="3920"/>
      <c r="AR61" s="4065" t="s">
        <v>607</v>
      </c>
      <c r="AS61" s="3983"/>
      <c r="AT61" s="4030"/>
      <c r="AU61" s="4030" t="str">
        <f>IF(T61="","",T61)</f>
        <v>Наименование централизованной системы холодного водоснабжения</v>
      </c>
      <c r="AV61" s="4030"/>
      <c r="AW61" s="4030"/>
      <c r="AX61" s="3916">
        <v>0</v>
      </c>
    </row>
    <row s="9594" customFormat="1" customHeight="1" ht="23.25">
      <c r="A62" s="4017"/>
      <c r="B62" s="4017"/>
      <c r="C62" s="4017"/>
      <c r="D62" s="4017"/>
      <c r="E62" s="4018"/>
      <c r="F62" s="4018">
        <v>1</v>
      </c>
      <c r="G62" s="4018"/>
      <c r="H62" s="4018"/>
      <c r="I62" s="4020" t="str">
        <f>S61&amp;".1"</f>
        <v>1.2.1.1</v>
      </c>
      <c r="J62" s="4017"/>
      <c r="K62" s="4017"/>
      <c r="L62" s="4021"/>
      <c r="M62" s="4022"/>
      <c r="N62" s="4022"/>
      <c r="O62" s="4022"/>
      <c r="P62" s="4023">
        <v>1</v>
      </c>
      <c r="Q62" s="4023"/>
      <c r="R62" s="4039"/>
      <c r="S62" s="4026" t="str">
        <f>$I62</f>
        <v>1.2.1.1</v>
      </c>
      <c r="T62" s="4120" t="s">
        <v>608</v>
      </c>
      <c r="U62" s="4028"/>
      <c r="V62" s="3928"/>
      <c r="W62" s="3929"/>
      <c r="X62" s="3929"/>
      <c r="Y62" s="3929"/>
      <c r="Z62" s="3929"/>
      <c r="AA62" s="3929"/>
      <c r="AB62" s="3930"/>
      <c r="AC62" s="4121"/>
      <c r="AD62" s="4122"/>
      <c r="AE62" s="4122"/>
      <c r="AF62" s="4122"/>
      <c r="AG62" s="4122"/>
      <c r="AH62" s="4122"/>
      <c r="AI62" s="4122"/>
      <c r="AJ62" s="3928"/>
      <c r="AK62" s="3929"/>
      <c r="AL62" s="3929"/>
      <c r="AM62" s="3929"/>
      <c r="AN62" s="3929"/>
      <c r="AO62" s="3929"/>
      <c r="AP62" s="3930"/>
      <c r="AQ62" s="4123"/>
      <c r="AR62" s="4065" t="s">
        <v>609</v>
      </c>
      <c r="AS62" s="3983"/>
      <c r="AT62" s="4030"/>
      <c r="AU62" s="4030" t="str">
        <f>IF(T62="","",T62)</f>
        <v>Наименование признака дифференциации</v>
      </c>
      <c r="AV62" s="4030"/>
      <c r="AW62" s="4030"/>
      <c r="AX62" s="3916">
        <v>0</v>
      </c>
    </row>
    <row s="9599" customFormat="1" customHeight="1" ht="23.25">
      <c r="A63" s="4017"/>
      <c r="B63" s="4017"/>
      <c r="C63" s="4017"/>
      <c r="D63" s="4017"/>
      <c r="E63" s="4018"/>
      <c r="F63" s="4018">
        <v>1</v>
      </c>
      <c r="G63" s="4018"/>
      <c r="H63" s="4018"/>
      <c r="I63" s="4019"/>
      <c r="J63" s="4020" t="str">
        <f>I62&amp;".1"</f>
        <v>1.2.1.1.1</v>
      </c>
      <c r="K63" s="4017"/>
      <c r="L63" s="4021" t="s">
        <v>534</v>
      </c>
      <c r="M63" s="4022"/>
      <c r="N63" s="4022"/>
      <c r="O63" s="4022"/>
      <c r="P63" s="4023"/>
      <c r="Q63" s="4023">
        <v>1</v>
      </c>
      <c r="R63" s="4025"/>
      <c r="S63" s="4026" t="str">
        <f>$J63</f>
        <v>1.2.1.1.1</v>
      </c>
      <c r="T63" s="4027" t="s">
        <v>535</v>
      </c>
      <c r="U63" s="4028"/>
      <c r="V63" s="3932"/>
      <c r="W63" s="3933"/>
      <c r="X63" s="3933"/>
      <c r="Y63" s="3933"/>
      <c r="Z63" s="3933"/>
      <c r="AA63" s="3933"/>
      <c r="AB63" s="3934"/>
      <c r="AC63" s="3932" t="s">
        <v>621</v>
      </c>
      <c r="AD63" s="3933"/>
      <c r="AE63" s="3933"/>
      <c r="AF63" s="3933"/>
      <c r="AG63" s="3933"/>
      <c r="AH63" s="3933"/>
      <c r="AI63" s="3933"/>
      <c r="AJ63" s="3932"/>
      <c r="AK63" s="3933"/>
      <c r="AL63" s="3933"/>
      <c r="AM63" s="3933"/>
      <c r="AN63" s="3933"/>
      <c r="AO63" s="3933"/>
      <c r="AP63" s="3934"/>
      <c r="AQ63" s="3934"/>
      <c r="AR63" s="4029" t="s">
        <v>610</v>
      </c>
      <c r="AS63" s="3983"/>
      <c r="AT63" s="4030"/>
      <c r="AU63" s="4030" t="str">
        <f>IF(T63="","",T63)</f>
        <v>Группа потребителей</v>
      </c>
      <c r="AV63" s="4030"/>
      <c r="AW63" s="4030"/>
      <c r="AX63" s="3916">
        <v>0</v>
      </c>
    </row>
    <row s="9600" customFormat="1" customHeight="1" ht="23.25">
      <c r="A64" s="4017"/>
      <c r="B64" s="4017"/>
      <c r="C64" s="4017"/>
      <c r="D64" s="4017"/>
      <c r="E64" s="4018"/>
      <c r="F64" s="4018">
        <v>1</v>
      </c>
      <c r="G64" s="4018"/>
      <c r="H64" s="4018"/>
      <c r="I64" s="4019"/>
      <c r="J64" s="4019"/>
      <c r="K64" s="4020" t="str">
        <f>J63&amp;".1"</f>
        <v>1.2.1.1.1.1</v>
      </c>
      <c r="L64" s="4021"/>
      <c r="M64" s="4022"/>
      <c r="N64" s="4022"/>
      <c r="O64" s="4022"/>
      <c r="P64" s="4023"/>
      <c r="Q64" s="4023"/>
      <c r="R64" s="4025">
        <v>1</v>
      </c>
      <c r="S64" s="4026" t="str">
        <f>$K64</f>
        <v>1.2.1.1.1.1</v>
      </c>
      <c r="T64" s="4032"/>
      <c r="U64" s="4028"/>
      <c r="V64" s="3936"/>
      <c r="W64" s="3936"/>
      <c r="X64" s="3937"/>
      <c r="Y64" s="3938"/>
      <c r="Z64" s="3939" t="s">
        <v>66</v>
      </c>
      <c r="AA64" s="3938"/>
      <c r="AB64" s="3939" t="s">
        <v>66</v>
      </c>
      <c r="AC64" s="3936">
        <v>57.42</v>
      </c>
      <c r="AD64" s="3936"/>
      <c r="AE64" s="3937"/>
      <c r="AF64" s="3938">
        <v>45658</v>
      </c>
      <c r="AG64" s="3939" t="s">
        <v>66</v>
      </c>
      <c r="AH64" s="4006">
        <v>45838</v>
      </c>
      <c r="AI64" s="3939" t="s">
        <v>66</v>
      </c>
      <c r="AJ64" s="3936">
        <v>62.02</v>
      </c>
      <c r="AK64" s="3936"/>
      <c r="AL64" s="3937"/>
      <c r="AM64" s="3938">
        <v>45839</v>
      </c>
      <c r="AN64" s="3939" t="s">
        <v>66</v>
      </c>
      <c r="AO64" s="3938">
        <v>46022</v>
      </c>
      <c r="AP64" s="3939" t="s">
        <v>66</v>
      </c>
      <c r="AQ64" s="4033"/>
      <c r="AR64" s="4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64" s="3983">
        <f>STRCHECKDATE(V65:AQ65)</f>
      </c>
      <c r="AT64" s="4030"/>
      <c r="AU64" s="4030" t="str">
        <f>IF(T64="","",T64)</f>
        <v/>
      </c>
      <c r="AV64" s="4030"/>
      <c r="AW64" s="4030"/>
      <c r="AX64" s="3916">
        <v>0</v>
      </c>
    </row>
    <row s="9601" customFormat="1" customHeight="1" ht="14.25">
      <c r="A65" s="4017"/>
      <c r="B65" s="4017"/>
      <c r="C65" s="4017"/>
      <c r="D65" s="4017"/>
      <c r="E65" s="4018"/>
      <c r="F65" s="4018">
        <v>1</v>
      </c>
      <c r="G65" s="4018"/>
      <c r="H65" s="4018"/>
      <c r="I65" s="4019"/>
      <c r="J65" s="4019"/>
      <c r="K65" s="4020"/>
      <c r="L65" s="4021"/>
      <c r="M65" s="4022"/>
      <c r="N65" s="4022"/>
      <c r="O65" s="4022"/>
      <c r="P65" s="4023"/>
      <c r="Q65" s="4023"/>
      <c r="R65" s="4025"/>
      <c r="S65" s="4036"/>
      <c r="T65" s="4028"/>
      <c r="U65" s="4028"/>
      <c r="V65" s="3943"/>
      <c r="W65" s="3943"/>
      <c r="X65" s="3944" t="str">
        <f>Y64&amp;"-"&amp;AA64</f>
        <v>-</v>
      </c>
      <c r="Y65" s="3945"/>
      <c r="Z65" s="3939"/>
      <c r="AA65" s="3945"/>
      <c r="AB65" s="3939"/>
      <c r="AC65" s="3943"/>
      <c r="AD65" s="3943"/>
      <c r="AE65" s="3944" t="str">
        <f>AF64&amp;"-"&amp;AH64</f>
        <v>45658-45838</v>
      </c>
      <c r="AF65" s="3945"/>
      <c r="AG65" s="3939"/>
      <c r="AH65" s="4008"/>
      <c r="AI65" s="3939"/>
      <c r="AJ65" s="3943"/>
      <c r="AK65" s="3943"/>
      <c r="AL65" s="3944" t="str">
        <f>AM64&amp;"-"&amp;AO64</f>
        <v>45839-46022</v>
      </c>
      <c r="AM65" s="3945"/>
      <c r="AN65" s="3939"/>
      <c r="AO65" s="3945"/>
      <c r="AP65" s="3939"/>
      <c r="AQ65" s="4037"/>
      <c r="AR65" s="4034"/>
      <c r="AS65" s="3983"/>
      <c r="AT65" s="4030"/>
      <c r="AU65" s="4030" t="str">
        <f>IF(T65="","",T65)</f>
        <v/>
      </c>
      <c r="AV65" s="4030"/>
      <c r="AW65" s="4030"/>
      <c r="AX65" s="3916">
        <v>0</v>
      </c>
    </row>
    <row s="9602" customFormat="1" customHeight="1" ht="21">
      <c r="A66" s="4017"/>
      <c r="B66" s="4017"/>
      <c r="C66" s="4017"/>
      <c r="D66" s="4017"/>
      <c r="E66" s="4018"/>
      <c r="F66" s="4018">
        <v>1</v>
      </c>
      <c r="G66" s="4018"/>
      <c r="H66" s="4018"/>
      <c r="I66" s="4019"/>
      <c r="J66" s="4020"/>
      <c r="K66" s="4017"/>
      <c r="L66" s="4021"/>
      <c r="M66" s="4022"/>
      <c r="N66" s="4022"/>
      <c r="O66" s="4022"/>
      <c r="P66" s="4023"/>
      <c r="Q66" s="4023"/>
      <c r="R66" s="4039"/>
      <c r="S66" s="4128"/>
      <c r="T66" s="4129" t="s">
        <v>611</v>
      </c>
      <c r="U66" s="4130"/>
      <c r="V66" s="4131"/>
      <c r="W66" s="4132"/>
      <c r="X66" s="4133"/>
      <c r="Y66" s="4134"/>
      <c r="Z66" s="4135"/>
      <c r="AA66" s="4136"/>
      <c r="AB66" s="4137"/>
      <c r="AC66" s="4138"/>
      <c r="AD66" s="4139"/>
      <c r="AE66" s="4140"/>
      <c r="AF66" s="4141"/>
      <c r="AG66" s="4142"/>
      <c r="AH66" s="4143"/>
      <c r="AI66" s="4144"/>
      <c r="AJ66" s="4145"/>
      <c r="AK66" s="4146"/>
      <c r="AL66" s="4147"/>
      <c r="AM66" s="4148"/>
      <c r="AN66" s="4149"/>
      <c r="AO66" s="4150"/>
      <c r="AP66" s="4151"/>
      <c r="AQ66" s="4152"/>
      <c r="AR66" s="4065" t="s">
        <v>612</v>
      </c>
      <c r="AS66" s="3983"/>
      <c r="AT66" s="4030"/>
      <c r="AU66" s="4030" t="str">
        <f>IF(T66="","",T66)</f>
        <v>Добавить значение признака дифференциации</v>
      </c>
      <c r="AV66" s="4030"/>
      <c r="AW66" s="4030"/>
      <c r="AX66" s="3916">
        <v>0</v>
      </c>
    </row>
    <row s="9628" customFormat="1" customHeight="1" ht="23.25">
      <c r="A67" s="4017"/>
      <c r="B67" s="4017"/>
      <c r="C67" s="4017"/>
      <c r="D67" s="4017"/>
      <c r="E67" s="4018"/>
      <c r="F67" s="4018"/>
      <c r="G67" s="4018"/>
      <c r="H67" s="4018"/>
      <c r="I67" s="4019"/>
      <c r="J67" s="4020" t="str">
        <f>I62&amp;".2"</f>
        <v>1.2.1.1.2</v>
      </c>
      <c r="K67" s="4017"/>
      <c r="L67" s="4021" t="s">
        <v>534</v>
      </c>
      <c r="M67" s="4022"/>
      <c r="N67" s="4022"/>
      <c r="O67" s="4022"/>
      <c r="P67" s="4023"/>
      <c r="Q67" s="4024" t="s">
        <v>105</v>
      </c>
      <c r="R67" s="4025"/>
      <c r="S67" s="4026" t="str">
        <f>$J67</f>
        <v>1.2.1.1.2</v>
      </c>
      <c r="T67" s="4027" t="s">
        <v>535</v>
      </c>
      <c r="U67" s="4028"/>
      <c r="V67" s="3932"/>
      <c r="W67" s="3933"/>
      <c r="X67" s="3933"/>
      <c r="Y67" s="3933"/>
      <c r="Z67" s="3933"/>
      <c r="AA67" s="3933"/>
      <c r="AB67" s="3934"/>
      <c r="AC67" s="3932" t="s">
        <v>622</v>
      </c>
      <c r="AD67" s="3933"/>
      <c r="AE67" s="3933"/>
      <c r="AF67" s="3933"/>
      <c r="AG67" s="3933"/>
      <c r="AH67" s="3933"/>
      <c r="AI67" s="3933"/>
      <c r="AJ67" s="3932"/>
      <c r="AK67" s="3933"/>
      <c r="AL67" s="3933"/>
      <c r="AM67" s="3933"/>
      <c r="AN67" s="3933"/>
      <c r="AO67" s="3933"/>
      <c r="AP67" s="3934"/>
      <c r="AQ67" s="3934"/>
      <c r="AR67" s="4029" t="s">
        <v>610</v>
      </c>
      <c r="AS67" s="3983"/>
      <c r="AT67" s="4030"/>
      <c r="AU67" s="4030" t="str">
        <f>IF(T67="","",T67)</f>
        <v>Группа потребителей</v>
      </c>
      <c r="AV67" s="4030"/>
      <c r="AW67" s="4030"/>
      <c r="AX67" s="3916">
        <v>0</v>
      </c>
    </row>
    <row s="9629" customFormat="1" customHeight="1" ht="23.25">
      <c r="A68" s="4017"/>
      <c r="B68" s="4017"/>
      <c r="C68" s="4017"/>
      <c r="D68" s="4017"/>
      <c r="E68" s="4018"/>
      <c r="F68" s="4018"/>
      <c r="G68" s="4018"/>
      <c r="H68" s="4018"/>
      <c r="I68" s="4019"/>
      <c r="J68" s="4019" t="str">
        <f>I62&amp;".1"</f>
        <v>1.2.1.1.1</v>
      </c>
      <c r="K68" s="4020" t="str">
        <f>J67&amp;".1"</f>
        <v>1.2.1.1.2.1</v>
      </c>
      <c r="L68" s="4021"/>
      <c r="M68" s="4022"/>
      <c r="N68" s="4022"/>
      <c r="O68" s="4022"/>
      <c r="P68" s="4023"/>
      <c r="Q68" s="4023"/>
      <c r="R68" s="4025">
        <v>1</v>
      </c>
      <c r="S68" s="4026" t="str">
        <f>$K68</f>
        <v>1.2.1.1.2.1</v>
      </c>
      <c r="T68" s="4032"/>
      <c r="U68" s="4028"/>
      <c r="V68" s="3936"/>
      <c r="W68" s="3936"/>
      <c r="X68" s="3937"/>
      <c r="Y68" s="3938"/>
      <c r="Z68" s="3939" t="s">
        <v>66</v>
      </c>
      <c r="AA68" s="3938"/>
      <c r="AB68" s="3939" t="s">
        <v>66</v>
      </c>
      <c r="AC68" s="3936">
        <v>54.69</v>
      </c>
      <c r="AD68" s="3936"/>
      <c r="AE68" s="3937"/>
      <c r="AF68" s="3938">
        <v>45658</v>
      </c>
      <c r="AG68" s="3939" t="s">
        <v>66</v>
      </c>
      <c r="AH68" s="4006">
        <v>45838</v>
      </c>
      <c r="AI68" s="3939" t="s">
        <v>66</v>
      </c>
      <c r="AJ68" s="3936">
        <v>102.47</v>
      </c>
      <c r="AK68" s="3936"/>
      <c r="AL68" s="3937"/>
      <c r="AM68" s="3938">
        <v>45839</v>
      </c>
      <c r="AN68" s="3939" t="s">
        <v>66</v>
      </c>
      <c r="AO68" s="3938">
        <v>46022</v>
      </c>
      <c r="AP68" s="3939" t="s">
        <v>66</v>
      </c>
      <c r="AQ68" s="4033"/>
      <c r="AR68" s="4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68" s="3983">
        <f>STRCHECKDATE(V69:AQ69)</f>
      </c>
      <c r="AT68" s="4030"/>
      <c r="AU68" s="4030" t="str">
        <f>IF(T68="","",T68)</f>
        <v/>
      </c>
      <c r="AV68" s="4030"/>
      <c r="AW68" s="4030"/>
      <c r="AX68" s="3916">
        <v>0</v>
      </c>
    </row>
    <row s="9630" customFormat="1" customHeight="1" ht="14.25">
      <c r="A69" s="4017"/>
      <c r="B69" s="4017"/>
      <c r="C69" s="4017"/>
      <c r="D69" s="4017"/>
      <c r="E69" s="4018"/>
      <c r="F69" s="4018"/>
      <c r="G69" s="4018"/>
      <c r="H69" s="4018"/>
      <c r="I69" s="4019"/>
      <c r="J69" s="4019" t="str">
        <f>I62&amp;".1"</f>
        <v>1.2.1.1.1</v>
      </c>
      <c r="K69" s="4020"/>
      <c r="L69" s="4021"/>
      <c r="M69" s="4022"/>
      <c r="N69" s="4022"/>
      <c r="O69" s="4022"/>
      <c r="P69" s="4023"/>
      <c r="Q69" s="4023"/>
      <c r="R69" s="4025"/>
      <c r="S69" s="4036"/>
      <c r="T69" s="4028"/>
      <c r="U69" s="4028"/>
      <c r="V69" s="3943"/>
      <c r="W69" s="3943"/>
      <c r="X69" s="3944" t="str">
        <f>Y68&amp;"-"&amp;AA68</f>
        <v>-</v>
      </c>
      <c r="Y69" s="3945"/>
      <c r="Z69" s="3939"/>
      <c r="AA69" s="3945"/>
      <c r="AB69" s="3939"/>
      <c r="AC69" s="3943"/>
      <c r="AD69" s="3943"/>
      <c r="AE69" s="3944" t="str">
        <f>AF68&amp;"-"&amp;AH68</f>
        <v>45658-45838</v>
      </c>
      <c r="AF69" s="3945"/>
      <c r="AG69" s="3939"/>
      <c r="AH69" s="4008"/>
      <c r="AI69" s="3939"/>
      <c r="AJ69" s="3943"/>
      <c r="AK69" s="3943"/>
      <c r="AL69" s="3944" t="str">
        <f>AM68&amp;"-"&amp;AO68</f>
        <v>45839-46022</v>
      </c>
      <c r="AM69" s="3945"/>
      <c r="AN69" s="3939"/>
      <c r="AO69" s="3945"/>
      <c r="AP69" s="3939"/>
      <c r="AQ69" s="4037"/>
      <c r="AR69" s="4034"/>
      <c r="AS69" s="3983"/>
      <c r="AT69" s="4030"/>
      <c r="AU69" s="4030" t="str">
        <f>IF(T69="","",T69)</f>
        <v/>
      </c>
      <c r="AV69" s="4030"/>
      <c r="AW69" s="4030"/>
      <c r="AX69" s="3916">
        <v>0</v>
      </c>
    </row>
    <row s="9631" customFormat="1" customHeight="1" ht="21">
      <c r="A70" s="4017"/>
      <c r="B70" s="4017"/>
      <c r="C70" s="4017"/>
      <c r="D70" s="4017"/>
      <c r="E70" s="4018"/>
      <c r="F70" s="4018"/>
      <c r="G70" s="4018"/>
      <c r="H70" s="4018"/>
      <c r="I70" s="4019"/>
      <c r="J70" s="4020" t="str">
        <f>I62&amp;".1"</f>
        <v>1.2.1.1.1</v>
      </c>
      <c r="K70" s="4017"/>
      <c r="L70" s="4021"/>
      <c r="M70" s="4022"/>
      <c r="N70" s="4022"/>
      <c r="O70" s="4022"/>
      <c r="P70" s="4023"/>
      <c r="Q70" s="4023"/>
      <c r="R70" s="4039"/>
      <c r="S70" s="4157"/>
      <c r="T70" s="4158" t="s">
        <v>611</v>
      </c>
      <c r="U70" s="4159"/>
      <c r="V70" s="4160"/>
      <c r="W70" s="4161"/>
      <c r="X70" s="4162"/>
      <c r="Y70" s="4163"/>
      <c r="Z70" s="4164"/>
      <c r="AA70" s="4165"/>
      <c r="AB70" s="4166"/>
      <c r="AC70" s="4167"/>
      <c r="AD70" s="4168"/>
      <c r="AE70" s="4169"/>
      <c r="AF70" s="4170"/>
      <c r="AG70" s="4171"/>
      <c r="AH70" s="4172"/>
      <c r="AI70" s="4173"/>
      <c r="AJ70" s="4174"/>
      <c r="AK70" s="4175"/>
      <c r="AL70" s="4176"/>
      <c r="AM70" s="4177"/>
      <c r="AN70" s="4178"/>
      <c r="AO70" s="4179"/>
      <c r="AP70" s="4180"/>
      <c r="AQ70" s="4181"/>
      <c r="AR70" s="4065" t="s">
        <v>612</v>
      </c>
      <c r="AS70" s="3983"/>
      <c r="AT70" s="4030"/>
      <c r="AU70" s="4030" t="str">
        <f>IF(T70="","",T70)</f>
        <v>Добавить значение признака дифференциации</v>
      </c>
      <c r="AV70" s="4030"/>
      <c r="AW70" s="4030"/>
      <c r="AX70" s="3916">
        <v>0</v>
      </c>
    </row>
    <row s="9657" customFormat="1" customHeight="1" ht="23.25">
      <c r="A71" s="4017"/>
      <c r="B71" s="4017"/>
      <c r="C71" s="4017"/>
      <c r="D71" s="4017"/>
      <c r="E71" s="4018"/>
      <c r="F71" s="4018"/>
      <c r="G71" s="4018"/>
      <c r="H71" s="4018"/>
      <c r="I71" s="4019"/>
      <c r="J71" s="4020" t="str">
        <f>I62&amp;".3"</f>
        <v>1.2.1.1.3</v>
      </c>
      <c r="K71" s="4017"/>
      <c r="L71" s="4021" t="s">
        <v>534</v>
      </c>
      <c r="M71" s="4022"/>
      <c r="N71" s="4022"/>
      <c r="O71" s="4022"/>
      <c r="P71" s="4023"/>
      <c r="Q71" s="4024" t="s">
        <v>105</v>
      </c>
      <c r="R71" s="4025"/>
      <c r="S71" s="4026" t="str">
        <f>$J71</f>
        <v>1.2.1.1.3</v>
      </c>
      <c r="T71" s="4027" t="s">
        <v>535</v>
      </c>
      <c r="U71" s="4028"/>
      <c r="V71" s="3932"/>
      <c r="W71" s="3933"/>
      <c r="X71" s="3933"/>
      <c r="Y71" s="3933"/>
      <c r="Z71" s="3933"/>
      <c r="AA71" s="3933"/>
      <c r="AB71" s="3934"/>
      <c r="AC71" s="3932" t="s">
        <v>623</v>
      </c>
      <c r="AD71" s="3933"/>
      <c r="AE71" s="3933"/>
      <c r="AF71" s="3933"/>
      <c r="AG71" s="3933"/>
      <c r="AH71" s="3933"/>
      <c r="AI71" s="3933"/>
      <c r="AJ71" s="3932"/>
      <c r="AK71" s="3933"/>
      <c r="AL71" s="3933"/>
      <c r="AM71" s="3933"/>
      <c r="AN71" s="3933"/>
      <c r="AO71" s="3933"/>
      <c r="AP71" s="3934"/>
      <c r="AQ71" s="3934"/>
      <c r="AR71" s="4029" t="s">
        <v>610</v>
      </c>
      <c r="AS71" s="3983"/>
      <c r="AT71" s="4030"/>
      <c r="AU71" s="4030" t="str">
        <f>IF(T71="","",T71)</f>
        <v>Группа потребителей</v>
      </c>
      <c r="AV71" s="4030"/>
      <c r="AW71" s="4030"/>
      <c r="AX71" s="3916">
        <v>0</v>
      </c>
    </row>
    <row s="9658" customFormat="1" customHeight="1" ht="23.25">
      <c r="A72" s="4017"/>
      <c r="B72" s="4017"/>
      <c r="C72" s="4017"/>
      <c r="D72" s="4017"/>
      <c r="E72" s="4018"/>
      <c r="F72" s="4018"/>
      <c r="G72" s="4018"/>
      <c r="H72" s="4018"/>
      <c r="I72" s="4019"/>
      <c r="J72" s="4019" t="str">
        <f>I62&amp;".2"</f>
        <v>1.2.1.1.2</v>
      </c>
      <c r="K72" s="4020" t="str">
        <f>J71&amp;".1"</f>
        <v>1.2.1.1.3.1</v>
      </c>
      <c r="L72" s="4021"/>
      <c r="M72" s="4022"/>
      <c r="N72" s="4022"/>
      <c r="O72" s="4022"/>
      <c r="P72" s="4023"/>
      <c r="Q72" s="4023"/>
      <c r="R72" s="4025">
        <v>1</v>
      </c>
      <c r="S72" s="4026" t="str">
        <f>$K72</f>
        <v>1.2.1.1.3.1</v>
      </c>
      <c r="T72" s="4032"/>
      <c r="U72" s="4028"/>
      <c r="V72" s="3936"/>
      <c r="W72" s="3936"/>
      <c r="X72" s="3937"/>
      <c r="Y72" s="3938"/>
      <c r="Z72" s="3939" t="s">
        <v>66</v>
      </c>
      <c r="AA72" s="3938"/>
      <c r="AB72" s="3939" t="s">
        <v>66</v>
      </c>
      <c r="AC72" s="3936">
        <v>54.69</v>
      </c>
      <c r="AD72" s="3936"/>
      <c r="AE72" s="3937"/>
      <c r="AF72" s="3938">
        <v>45658</v>
      </c>
      <c r="AG72" s="3939" t="s">
        <v>66</v>
      </c>
      <c r="AH72" s="4006">
        <v>45838</v>
      </c>
      <c r="AI72" s="3939" t="s">
        <v>66</v>
      </c>
      <c r="AJ72" s="3936">
        <v>102.47</v>
      </c>
      <c r="AK72" s="3936"/>
      <c r="AL72" s="3937"/>
      <c r="AM72" s="3938">
        <v>45839</v>
      </c>
      <c r="AN72" s="3939" t="s">
        <v>66</v>
      </c>
      <c r="AO72" s="3938">
        <v>46022</v>
      </c>
      <c r="AP72" s="3939" t="s">
        <v>66</v>
      </c>
      <c r="AQ72" s="4033"/>
      <c r="AR72" s="4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2" s="3983">
        <f>STRCHECKDATE(V73:AQ73)</f>
      </c>
      <c r="AT72" s="4030"/>
      <c r="AU72" s="4030" t="str">
        <f>IF(T72="","",T72)</f>
        <v/>
      </c>
      <c r="AV72" s="4030"/>
      <c r="AW72" s="4030"/>
      <c r="AX72" s="3916">
        <v>0</v>
      </c>
    </row>
    <row s="9659" customFormat="1" customHeight="1" ht="14.25">
      <c r="A73" s="4017"/>
      <c r="B73" s="4017"/>
      <c r="C73" s="4017"/>
      <c r="D73" s="4017"/>
      <c r="E73" s="4018"/>
      <c r="F73" s="4018"/>
      <c r="G73" s="4018"/>
      <c r="H73" s="4018"/>
      <c r="I73" s="4019"/>
      <c r="J73" s="4019" t="str">
        <f>I62&amp;".2"</f>
        <v>1.2.1.1.2</v>
      </c>
      <c r="K73" s="4020"/>
      <c r="L73" s="4021"/>
      <c r="M73" s="4022"/>
      <c r="N73" s="4022"/>
      <c r="O73" s="4022"/>
      <c r="P73" s="4023"/>
      <c r="Q73" s="4023"/>
      <c r="R73" s="4025"/>
      <c r="S73" s="4036"/>
      <c r="T73" s="4028"/>
      <c r="U73" s="4028"/>
      <c r="V73" s="3943"/>
      <c r="W73" s="3943"/>
      <c r="X73" s="3944" t="str">
        <f>Y72&amp;"-"&amp;AA72</f>
        <v>-</v>
      </c>
      <c r="Y73" s="3945"/>
      <c r="Z73" s="3939"/>
      <c r="AA73" s="3945"/>
      <c r="AB73" s="3939"/>
      <c r="AC73" s="3943"/>
      <c r="AD73" s="3943"/>
      <c r="AE73" s="3944" t="str">
        <f>AF72&amp;"-"&amp;AH72</f>
        <v>45658-45838</v>
      </c>
      <c r="AF73" s="3945"/>
      <c r="AG73" s="3939"/>
      <c r="AH73" s="4008"/>
      <c r="AI73" s="3939"/>
      <c r="AJ73" s="3943"/>
      <c r="AK73" s="3943"/>
      <c r="AL73" s="3944" t="str">
        <f>AM72&amp;"-"&amp;AO72</f>
        <v>45839-46022</v>
      </c>
      <c r="AM73" s="3945"/>
      <c r="AN73" s="3939"/>
      <c r="AO73" s="3945"/>
      <c r="AP73" s="3939"/>
      <c r="AQ73" s="4037"/>
      <c r="AR73" s="4034"/>
      <c r="AS73" s="3983"/>
      <c r="AT73" s="4030"/>
      <c r="AU73" s="4030" t="str">
        <f>IF(T73="","",T73)</f>
        <v/>
      </c>
      <c r="AV73" s="4030"/>
      <c r="AW73" s="4030"/>
      <c r="AX73" s="3916">
        <v>0</v>
      </c>
    </row>
    <row s="9660" customFormat="1" customHeight="1" ht="21">
      <c r="A74" s="4017"/>
      <c r="B74" s="4017"/>
      <c r="C74" s="4017"/>
      <c r="D74" s="4017"/>
      <c r="E74" s="4018"/>
      <c r="F74" s="4018"/>
      <c r="G74" s="4018"/>
      <c r="H74" s="4018"/>
      <c r="I74" s="4019"/>
      <c r="J74" s="4020" t="str">
        <f>I62&amp;".2"</f>
        <v>1.2.1.1.2</v>
      </c>
      <c r="K74" s="4017"/>
      <c r="L74" s="4021"/>
      <c r="M74" s="4022"/>
      <c r="N74" s="4022"/>
      <c r="O74" s="4022"/>
      <c r="P74" s="4023"/>
      <c r="Q74" s="4023"/>
      <c r="R74" s="4039"/>
      <c r="S74" s="4186"/>
      <c r="T74" s="4187" t="s">
        <v>611</v>
      </c>
      <c r="U74" s="4188"/>
      <c r="V74" s="4189"/>
      <c r="W74" s="4190"/>
      <c r="X74" s="4191"/>
      <c r="Y74" s="4192"/>
      <c r="Z74" s="4193"/>
      <c r="AA74" s="4194"/>
      <c r="AB74" s="4195"/>
      <c r="AC74" s="4196"/>
      <c r="AD74" s="4197"/>
      <c r="AE74" s="4198"/>
      <c r="AF74" s="4199"/>
      <c r="AG74" s="4200"/>
      <c r="AH74" s="4201"/>
      <c r="AI74" s="4202"/>
      <c r="AJ74" s="4203"/>
      <c r="AK74" s="4204"/>
      <c r="AL74" s="4205"/>
      <c r="AM74" s="4206"/>
      <c r="AN74" s="4207"/>
      <c r="AO74" s="4208"/>
      <c r="AP74" s="4209"/>
      <c r="AQ74" s="4210"/>
      <c r="AR74" s="4065" t="s">
        <v>612</v>
      </c>
      <c r="AS74" s="3983"/>
      <c r="AT74" s="4030"/>
      <c r="AU74" s="4030" t="str">
        <f>IF(T74="","",T74)</f>
        <v>Добавить значение признака дифференциации</v>
      </c>
      <c r="AV74" s="4030"/>
      <c r="AW74" s="4030"/>
      <c r="AX74" s="3916">
        <v>0</v>
      </c>
    </row>
    <row s="9686" customFormat="1" customHeight="1" ht="21">
      <c r="A75" s="4017"/>
      <c r="B75" s="4017"/>
      <c r="C75" s="4017"/>
      <c r="D75" s="4017"/>
      <c r="E75" s="4018"/>
      <c r="F75" s="4018">
        <v>1</v>
      </c>
      <c r="G75" s="4018"/>
      <c r="H75" s="4018"/>
      <c r="I75" s="4020"/>
      <c r="J75" s="4017"/>
      <c r="K75" s="4017"/>
      <c r="L75" s="4021"/>
      <c r="M75" s="4022"/>
      <c r="N75" s="4022"/>
      <c r="O75" s="4022"/>
      <c r="P75" s="4023"/>
      <c r="Q75" s="4023"/>
      <c r="R75" s="4039"/>
      <c r="S75" s="4212"/>
      <c r="T75" s="4213" t="s">
        <v>540</v>
      </c>
      <c r="U75" s="4214"/>
      <c r="V75" s="4215"/>
      <c r="W75" s="4216"/>
      <c r="X75" s="4217"/>
      <c r="Y75" s="4218"/>
      <c r="Z75" s="4219"/>
      <c r="AA75" s="4220"/>
      <c r="AB75" s="4221"/>
      <c r="AC75" s="4222"/>
      <c r="AD75" s="4223"/>
      <c r="AE75" s="4224"/>
      <c r="AF75" s="4225"/>
      <c r="AG75" s="4226"/>
      <c r="AH75" s="4227"/>
      <c r="AI75" s="4228"/>
      <c r="AJ75" s="4229"/>
      <c r="AK75" s="4230"/>
      <c r="AL75" s="4231"/>
      <c r="AM75" s="4232"/>
      <c r="AN75" s="4233"/>
      <c r="AO75" s="4234"/>
      <c r="AP75" s="4235"/>
      <c r="AQ75" s="4236"/>
      <c r="AR75" s="4237"/>
      <c r="AS75" s="3983"/>
      <c r="AT75" s="4030"/>
      <c r="AU75" s="4030" t="str">
        <f>IF(T75="","",T75)</f>
        <v>Добавить группу потребителей</v>
      </c>
      <c r="AV75" s="4030"/>
      <c r="AW75" s="4030"/>
      <c r="AX75" s="3916">
        <v>0</v>
      </c>
    </row>
    <row s="9713" customFormat="1" customHeight="1" ht="14.25">
      <c r="A76" s="4017"/>
      <c r="B76" s="4017"/>
      <c r="C76" s="4017"/>
      <c r="D76" s="4017"/>
      <c r="E76" s="4018"/>
      <c r="F76" s="4018">
        <v>1</v>
      </c>
      <c r="G76" s="4018"/>
      <c r="H76" s="4110"/>
      <c r="I76" s="4017"/>
      <c r="J76" s="4017"/>
      <c r="K76" s="4017"/>
      <c r="L76" s="4021"/>
      <c r="M76" s="4111"/>
      <c r="N76" s="4111"/>
      <c r="O76" s="3973"/>
      <c r="P76" s="4239"/>
      <c r="Q76" s="4240"/>
      <c r="R76" s="4241"/>
      <c r="S76" s="4242"/>
      <c r="T76" s="4243" t="s">
        <v>613</v>
      </c>
      <c r="U76" s="4244"/>
      <c r="V76" s="4245"/>
      <c r="W76" s="4246"/>
      <c r="X76" s="4247"/>
      <c r="Y76" s="4248"/>
      <c r="Z76" s="4249"/>
      <c r="AA76" s="4250"/>
      <c r="AB76" s="4251"/>
      <c r="AC76" s="4252"/>
      <c r="AD76" s="4253"/>
      <c r="AE76" s="4254"/>
      <c r="AF76" s="4255"/>
      <c r="AG76" s="4256"/>
      <c r="AH76" s="4257"/>
      <c r="AI76" s="4258"/>
      <c r="AJ76" s="4259"/>
      <c r="AK76" s="4260"/>
      <c r="AL76" s="4261"/>
      <c r="AM76" s="4262"/>
      <c r="AN76" s="4263"/>
      <c r="AO76" s="4264"/>
      <c r="AP76" s="4265"/>
      <c r="AQ76" s="4266"/>
      <c r="AR76" s="4267"/>
      <c r="AS76" s="3983"/>
      <c r="AT76" s="4030"/>
      <c r="AU76" s="4030" t="str">
        <f>IF(T76="","",T76)</f>
        <v>Добавить наименование признака дифференциации</v>
      </c>
      <c r="AV76" s="4030"/>
      <c r="AW76" s="4030"/>
      <c r="AX76" s="3916">
        <v>0</v>
      </c>
    </row>
    <row s="9743" customFormat="1" customHeight="1" ht="14.25">
      <c r="A77" s="4269"/>
      <c r="B77" s="4269"/>
      <c r="C77" s="4269"/>
      <c r="D77" s="4269"/>
      <c r="E77" s="4018"/>
      <c r="F77" s="4110">
        <v>1</v>
      </c>
      <c r="G77" s="4269"/>
      <c r="H77" s="4269"/>
      <c r="I77" s="4269"/>
      <c r="J77" s="4269"/>
      <c r="K77" s="4269"/>
      <c r="L77" s="4270"/>
      <c r="M77" s="4271"/>
      <c r="N77" s="4271"/>
      <c r="O77" s="3983"/>
      <c r="P77" s="4272"/>
      <c r="Q77" s="4273"/>
      <c r="R77" s="4272"/>
      <c r="S77" s="4274"/>
      <c r="T77" s="4275" t="s">
        <v>298</v>
      </c>
      <c r="U77" s="3971"/>
      <c r="V77" s="3971"/>
      <c r="W77" s="3971"/>
      <c r="X77" s="3971"/>
      <c r="Y77" s="3971"/>
      <c r="Z77" s="3971"/>
      <c r="AA77" s="3971"/>
      <c r="AB77" s="3971"/>
      <c r="AC77" s="3971"/>
      <c r="AD77" s="3971"/>
      <c r="AE77" s="3971"/>
      <c r="AF77" s="3971"/>
      <c r="AG77" s="3971"/>
      <c r="AH77" s="3971"/>
      <c r="AI77" s="3971"/>
      <c r="AJ77" s="3971"/>
      <c r="AK77" s="3971"/>
      <c r="AL77" s="3971"/>
      <c r="AM77" s="3971"/>
      <c r="AN77" s="3971"/>
      <c r="AO77" s="3971"/>
      <c r="AP77" s="3971"/>
      <c r="AQ77" s="3971"/>
      <c r="AR77" s="3971"/>
      <c r="AS77" s="3983"/>
      <c r="AT77" s="4030"/>
      <c r="AU77" s="4030" t="str">
        <f>IF(T77="","",T77)</f>
        <v>Добавить централизованную систему для дифференциации</v>
      </c>
      <c r="AV77" s="4030"/>
      <c r="AW77" s="4030"/>
      <c r="AX77" s="3983">
        <v>0</v>
      </c>
    </row>
    <row s="9751" customFormat="1" customHeight="1" ht="23.25">
      <c r="A78" s="4017"/>
      <c r="B78" s="4017" t="s">
        <v>302</v>
      </c>
      <c r="C78" s="4017"/>
      <c r="D78" s="4017"/>
      <c r="E78" s="4018"/>
      <c r="F78" s="4110" t="s">
        <v>90</v>
      </c>
      <c r="G78" s="4017"/>
      <c r="H78" s="4017"/>
      <c r="I78" s="4017"/>
      <c r="J78" s="4017"/>
      <c r="K78" s="4017"/>
      <c r="L78" s="4021"/>
      <c r="M78" s="4111"/>
      <c r="N78" s="4111"/>
      <c r="O78" s="4111"/>
      <c r="P78" s="4112"/>
      <c r="Q78" s="4113"/>
      <c r="R78" s="4114"/>
      <c r="S78" s="4026" t="str">
        <f>INDEX(PT_DIFFERENTIATION_NUM_TER,MATCH(B78,PT_DIFFERENTIATION_TER_ID,0))</f>
        <v>1.3</v>
      </c>
      <c r="T78" s="4115" t="s">
        <v>525</v>
      </c>
      <c r="U78" s="4028"/>
      <c r="V78" s="3918"/>
      <c r="W78" s="3919"/>
      <c r="X78" s="3919"/>
      <c r="Y78" s="3919"/>
      <c r="Z78" s="3919"/>
      <c r="AA78" s="3919"/>
      <c r="AB78" s="3920"/>
      <c r="AC78" s="3918" t="str">
        <f>INDEX(PT_DIFFERENTIATION_TER,MATCH(B78,PT_DIFFERENTIATION_TER_ID,0))</f>
        <v>Территория 3</v>
      </c>
      <c r="AD78" s="3919"/>
      <c r="AE78" s="3919"/>
      <c r="AF78" s="3919"/>
      <c r="AG78" s="3919"/>
      <c r="AH78" s="3919"/>
      <c r="AI78" s="3919"/>
      <c r="AJ78" s="3918"/>
      <c r="AK78" s="3919"/>
      <c r="AL78" s="3919"/>
      <c r="AM78" s="3919"/>
      <c r="AN78" s="3919"/>
      <c r="AO78" s="3919"/>
      <c r="AP78" s="3920"/>
      <c r="AQ78" s="3920"/>
      <c r="AR78" s="4065" t="s">
        <v>526</v>
      </c>
      <c r="AS78" s="3983"/>
      <c r="AT78" s="4030"/>
      <c r="AU78" s="4030" t="str">
        <f>IF(T78="","",T78)</f>
        <v>Территория действия тарифа</v>
      </c>
      <c r="AV78" s="4030"/>
      <c r="AW78" s="4030"/>
      <c r="AX78" s="3916">
        <v>0</v>
      </c>
    </row>
    <row s="9752" customFormat="1" customHeight="1" ht="23.25">
      <c r="A79" s="4017"/>
      <c r="B79" s="4017"/>
      <c r="C79" s="4017" t="s">
        <v>303</v>
      </c>
      <c r="D79" s="4017"/>
      <c r="E79" s="4018"/>
      <c r="F79" s="4018" t="s">
        <v>104</v>
      </c>
      <c r="G79" s="4110">
        <v>1</v>
      </c>
      <c r="H79" s="4017"/>
      <c r="I79" s="4017"/>
      <c r="J79" s="4017"/>
      <c r="K79" s="4017"/>
      <c r="L79" s="4021"/>
      <c r="M79" s="4111"/>
      <c r="N79" s="4111"/>
      <c r="O79" s="4111"/>
      <c r="P79" s="4117"/>
      <c r="Q79" s="4113"/>
      <c r="R79" s="4114"/>
      <c r="S79" s="4026" t="str">
        <f>INDEX(PT_DIFFERENTIATION_NUM_CS,MATCH(C79,PT_DIFFERENTIATION_CS_ID,0))</f>
        <v>1.3.1</v>
      </c>
      <c r="T79" s="4118" t="s">
        <v>606</v>
      </c>
      <c r="U79" s="4028"/>
      <c r="V79" s="3918"/>
      <c r="W79" s="3919"/>
      <c r="X79" s="3919"/>
      <c r="Y79" s="3919"/>
      <c r="Z79" s="3919"/>
      <c r="AA79" s="3919"/>
      <c r="AB79" s="3920"/>
      <c r="AC79" s="3918" t="str">
        <f>INDEX(PT_DIFFERENTIATION_CS,MATCH(C79,PT_DIFFERENTIATION_CS_ID,0))</f>
        <v>без дифференциации</v>
      </c>
      <c r="AD79" s="3919"/>
      <c r="AE79" s="3919"/>
      <c r="AF79" s="3919"/>
      <c r="AG79" s="3919"/>
      <c r="AH79" s="3919"/>
      <c r="AI79" s="3919"/>
      <c r="AJ79" s="3918"/>
      <c r="AK79" s="3919"/>
      <c r="AL79" s="3919"/>
      <c r="AM79" s="3919"/>
      <c r="AN79" s="3919"/>
      <c r="AO79" s="3919"/>
      <c r="AP79" s="3920"/>
      <c r="AQ79" s="3920"/>
      <c r="AR79" s="4065" t="s">
        <v>607</v>
      </c>
      <c r="AS79" s="3983"/>
      <c r="AT79" s="4030"/>
      <c r="AU79" s="4030" t="str">
        <f>IF(T79="","",T79)</f>
        <v>Наименование централизованной системы холодного водоснабжения</v>
      </c>
      <c r="AV79" s="4030"/>
      <c r="AW79" s="4030"/>
      <c r="AX79" s="3916">
        <v>0</v>
      </c>
    </row>
    <row s="9753" customFormat="1" customHeight="1" ht="23.25">
      <c r="A80" s="4017"/>
      <c r="B80" s="4017"/>
      <c r="C80" s="4017"/>
      <c r="D80" s="4017"/>
      <c r="E80" s="4018"/>
      <c r="F80" s="4018" t="s">
        <v>104</v>
      </c>
      <c r="G80" s="4018"/>
      <c r="H80" s="4018"/>
      <c r="I80" s="4020" t="str">
        <f>S79&amp;".1"</f>
        <v>1.3.1.1</v>
      </c>
      <c r="J80" s="4017"/>
      <c r="K80" s="4017"/>
      <c r="L80" s="4021"/>
      <c r="M80" s="4022"/>
      <c r="N80" s="4022"/>
      <c r="O80" s="4022"/>
      <c r="P80" s="4023">
        <v>1</v>
      </c>
      <c r="Q80" s="4023"/>
      <c r="R80" s="4039"/>
      <c r="S80" s="4026" t="str">
        <f>$I80</f>
        <v>1.3.1.1</v>
      </c>
      <c r="T80" s="4120" t="s">
        <v>608</v>
      </c>
      <c r="U80" s="4028"/>
      <c r="V80" s="3928"/>
      <c r="W80" s="3929"/>
      <c r="X80" s="3929"/>
      <c r="Y80" s="3929"/>
      <c r="Z80" s="3929"/>
      <c r="AA80" s="3929"/>
      <c r="AB80" s="3930"/>
      <c r="AC80" s="4121"/>
      <c r="AD80" s="4122"/>
      <c r="AE80" s="4122"/>
      <c r="AF80" s="4122"/>
      <c r="AG80" s="4122"/>
      <c r="AH80" s="4122"/>
      <c r="AI80" s="4122"/>
      <c r="AJ80" s="3928"/>
      <c r="AK80" s="3929"/>
      <c r="AL80" s="3929"/>
      <c r="AM80" s="3929"/>
      <c r="AN80" s="3929"/>
      <c r="AO80" s="3929"/>
      <c r="AP80" s="3930"/>
      <c r="AQ80" s="4123"/>
      <c r="AR80" s="4065" t="s">
        <v>609</v>
      </c>
      <c r="AS80" s="3983"/>
      <c r="AT80" s="4030"/>
      <c r="AU80" s="4030" t="str">
        <f>IF(T80="","",T80)</f>
        <v>Наименование признака дифференциации</v>
      </c>
      <c r="AV80" s="4030"/>
      <c r="AW80" s="4030"/>
      <c r="AX80" s="3916">
        <v>0</v>
      </c>
    </row>
    <row s="9754" customFormat="1" customHeight="1" ht="23.25">
      <c r="A81" s="4017"/>
      <c r="B81" s="4017"/>
      <c r="C81" s="4017"/>
      <c r="D81" s="4017"/>
      <c r="E81" s="4018"/>
      <c r="F81" s="4018" t="s">
        <v>104</v>
      </c>
      <c r="G81" s="4018"/>
      <c r="H81" s="4018"/>
      <c r="I81" s="4019"/>
      <c r="J81" s="4020" t="str">
        <f>I80&amp;".1"</f>
        <v>1.3.1.1.1</v>
      </c>
      <c r="K81" s="4017"/>
      <c r="L81" s="4021" t="s">
        <v>534</v>
      </c>
      <c r="M81" s="4022"/>
      <c r="N81" s="4022"/>
      <c r="O81" s="4022"/>
      <c r="P81" s="4023"/>
      <c r="Q81" s="4023">
        <v>1</v>
      </c>
      <c r="R81" s="4025"/>
      <c r="S81" s="4026" t="str">
        <f>$J81</f>
        <v>1.3.1.1.1</v>
      </c>
      <c r="T81" s="4027" t="s">
        <v>535</v>
      </c>
      <c r="U81" s="4028"/>
      <c r="V81" s="3932"/>
      <c r="W81" s="3933"/>
      <c r="X81" s="3933"/>
      <c r="Y81" s="3933"/>
      <c r="Z81" s="3933"/>
      <c r="AA81" s="3933"/>
      <c r="AB81" s="3934"/>
      <c r="AC81" s="3932" t="s">
        <v>621</v>
      </c>
      <c r="AD81" s="3933"/>
      <c r="AE81" s="3933"/>
      <c r="AF81" s="3933"/>
      <c r="AG81" s="3933"/>
      <c r="AH81" s="3933"/>
      <c r="AI81" s="3933"/>
      <c r="AJ81" s="3932"/>
      <c r="AK81" s="3933"/>
      <c r="AL81" s="3933"/>
      <c r="AM81" s="3933"/>
      <c r="AN81" s="3933"/>
      <c r="AO81" s="3933"/>
      <c r="AP81" s="3934"/>
      <c r="AQ81" s="3934"/>
      <c r="AR81" s="4029" t="s">
        <v>610</v>
      </c>
      <c r="AS81" s="3983"/>
      <c r="AT81" s="4030"/>
      <c r="AU81" s="4030" t="str">
        <f>IF(T81="","",T81)</f>
        <v>Группа потребителей</v>
      </c>
      <c r="AV81" s="4030"/>
      <c r="AW81" s="4030"/>
      <c r="AX81" s="3916">
        <v>0</v>
      </c>
    </row>
    <row s="9755" customFormat="1" customHeight="1" ht="23.25">
      <c r="A82" s="4017"/>
      <c r="B82" s="4017"/>
      <c r="C82" s="4017"/>
      <c r="D82" s="4017"/>
      <c r="E82" s="4018"/>
      <c r="F82" s="4018" t="s">
        <v>104</v>
      </c>
      <c r="G82" s="4018"/>
      <c r="H82" s="4018"/>
      <c r="I82" s="4019"/>
      <c r="J82" s="4019"/>
      <c r="K82" s="4020" t="str">
        <f>J81&amp;".1"</f>
        <v>1.3.1.1.1.1</v>
      </c>
      <c r="L82" s="4021"/>
      <c r="M82" s="4022"/>
      <c r="N82" s="4022"/>
      <c r="O82" s="4022"/>
      <c r="P82" s="4023"/>
      <c r="Q82" s="4023"/>
      <c r="R82" s="4025">
        <v>1</v>
      </c>
      <c r="S82" s="4026" t="str">
        <f>$K82</f>
        <v>1.3.1.1.1.1</v>
      </c>
      <c r="T82" s="4032"/>
      <c r="U82" s="4028"/>
      <c r="V82" s="3936"/>
      <c r="W82" s="3936"/>
      <c r="X82" s="3937"/>
      <c r="Y82" s="3938"/>
      <c r="Z82" s="3939" t="s">
        <v>66</v>
      </c>
      <c r="AA82" s="3938"/>
      <c r="AB82" s="3939" t="s">
        <v>66</v>
      </c>
      <c r="AC82" s="3936">
        <v>57.42</v>
      </c>
      <c r="AD82" s="3936"/>
      <c r="AE82" s="3937"/>
      <c r="AF82" s="3938">
        <v>45658</v>
      </c>
      <c r="AG82" s="3939" t="s">
        <v>66</v>
      </c>
      <c r="AH82" s="4006">
        <v>45838</v>
      </c>
      <c r="AI82" s="3939" t="s">
        <v>66</v>
      </c>
      <c r="AJ82" s="3936">
        <v>62.02</v>
      </c>
      <c r="AK82" s="3936"/>
      <c r="AL82" s="3937"/>
      <c r="AM82" s="3938">
        <v>45839</v>
      </c>
      <c r="AN82" s="3939" t="s">
        <v>66</v>
      </c>
      <c r="AO82" s="3938">
        <v>46022</v>
      </c>
      <c r="AP82" s="3939" t="s">
        <v>66</v>
      </c>
      <c r="AQ82" s="4033"/>
      <c r="AR82" s="4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82" s="3983">
        <f>STRCHECKDATE(V83:AQ83)</f>
      </c>
      <c r="AT82" s="4030"/>
      <c r="AU82" s="4030" t="str">
        <f>IF(T82="","",T82)</f>
        <v/>
      </c>
      <c r="AV82" s="4030"/>
      <c r="AW82" s="4030"/>
      <c r="AX82" s="3916">
        <v>0</v>
      </c>
    </row>
    <row s="9756" customFormat="1" customHeight="1" ht="14.25">
      <c r="A83" s="4017"/>
      <c r="B83" s="4017"/>
      <c r="C83" s="4017"/>
      <c r="D83" s="4017"/>
      <c r="E83" s="4018"/>
      <c r="F83" s="4018" t="s">
        <v>104</v>
      </c>
      <c r="G83" s="4018"/>
      <c r="H83" s="4018"/>
      <c r="I83" s="4019"/>
      <c r="J83" s="4019"/>
      <c r="K83" s="4020"/>
      <c r="L83" s="4021"/>
      <c r="M83" s="4022"/>
      <c r="N83" s="4022"/>
      <c r="O83" s="4022"/>
      <c r="P83" s="4023"/>
      <c r="Q83" s="4023"/>
      <c r="R83" s="4025"/>
      <c r="S83" s="4036"/>
      <c r="T83" s="4028"/>
      <c r="U83" s="4028"/>
      <c r="V83" s="3943"/>
      <c r="W83" s="3943"/>
      <c r="X83" s="3944" t="str">
        <f>Y82&amp;"-"&amp;AA82</f>
        <v>-</v>
      </c>
      <c r="Y83" s="3945"/>
      <c r="Z83" s="3939"/>
      <c r="AA83" s="3945"/>
      <c r="AB83" s="3939"/>
      <c r="AC83" s="3943"/>
      <c r="AD83" s="3943"/>
      <c r="AE83" s="3944" t="str">
        <f>AF82&amp;"-"&amp;AH82</f>
        <v>45658-45838</v>
      </c>
      <c r="AF83" s="3945"/>
      <c r="AG83" s="3939"/>
      <c r="AH83" s="4008"/>
      <c r="AI83" s="3939"/>
      <c r="AJ83" s="3943"/>
      <c r="AK83" s="3943"/>
      <c r="AL83" s="3944" t="str">
        <f>AM82&amp;"-"&amp;AO82</f>
        <v>45839-46022</v>
      </c>
      <c r="AM83" s="3945"/>
      <c r="AN83" s="3939"/>
      <c r="AO83" s="3945"/>
      <c r="AP83" s="3939"/>
      <c r="AQ83" s="4037"/>
      <c r="AR83" s="4034"/>
      <c r="AS83" s="3983"/>
      <c r="AT83" s="4030"/>
      <c r="AU83" s="4030" t="str">
        <f>IF(T83="","",T83)</f>
        <v/>
      </c>
      <c r="AV83" s="4030"/>
      <c r="AW83" s="4030"/>
      <c r="AX83" s="3916">
        <v>0</v>
      </c>
    </row>
    <row s="9757" customFormat="1" customHeight="1" ht="21">
      <c r="A84" s="4017"/>
      <c r="B84" s="4017"/>
      <c r="C84" s="4017"/>
      <c r="D84" s="4017"/>
      <c r="E84" s="4018"/>
      <c r="F84" s="4018" t="s">
        <v>104</v>
      </c>
      <c r="G84" s="4018"/>
      <c r="H84" s="4018"/>
      <c r="I84" s="4019"/>
      <c r="J84" s="4020"/>
      <c r="K84" s="4017"/>
      <c r="L84" s="4021"/>
      <c r="M84" s="4022"/>
      <c r="N84" s="4022"/>
      <c r="O84" s="4022"/>
      <c r="P84" s="4023"/>
      <c r="Q84" s="4023"/>
      <c r="R84" s="4039"/>
      <c r="S84" s="4283"/>
      <c r="T84" s="4284" t="s">
        <v>611</v>
      </c>
      <c r="U84" s="4285"/>
      <c r="V84" s="4286"/>
      <c r="W84" s="4287"/>
      <c r="X84" s="4288"/>
      <c r="Y84" s="4289"/>
      <c r="Z84" s="4290"/>
      <c r="AA84" s="4291"/>
      <c r="AB84" s="4292"/>
      <c r="AC84" s="4293"/>
      <c r="AD84" s="4294"/>
      <c r="AE84" s="4295"/>
      <c r="AF84" s="4296"/>
      <c r="AG84" s="4297"/>
      <c r="AH84" s="4298"/>
      <c r="AI84" s="4299"/>
      <c r="AJ84" s="4300"/>
      <c r="AK84" s="4301"/>
      <c r="AL84" s="4302"/>
      <c r="AM84" s="4303"/>
      <c r="AN84" s="4304"/>
      <c r="AO84" s="4305"/>
      <c r="AP84" s="4306"/>
      <c r="AQ84" s="4307"/>
      <c r="AR84" s="4065" t="s">
        <v>612</v>
      </c>
      <c r="AS84" s="3983"/>
      <c r="AT84" s="4030"/>
      <c r="AU84" s="4030" t="str">
        <f>IF(T84="","",T84)</f>
        <v>Добавить значение признака дифференциации</v>
      </c>
      <c r="AV84" s="4030"/>
      <c r="AW84" s="4030"/>
      <c r="AX84" s="3916">
        <v>0</v>
      </c>
    </row>
    <row s="9783" customFormat="1" customHeight="1" ht="23.25">
      <c r="A85" s="4017"/>
      <c r="B85" s="4017"/>
      <c r="C85" s="4017"/>
      <c r="D85" s="4017"/>
      <c r="E85" s="4018"/>
      <c r="F85" s="4018"/>
      <c r="G85" s="4018"/>
      <c r="H85" s="4018"/>
      <c r="I85" s="4019"/>
      <c r="J85" s="4020" t="str">
        <f>I80&amp;".2"</f>
        <v>1.3.1.1.2</v>
      </c>
      <c r="K85" s="4017"/>
      <c r="L85" s="4021" t="s">
        <v>534</v>
      </c>
      <c r="M85" s="4022"/>
      <c r="N85" s="4022"/>
      <c r="O85" s="4022"/>
      <c r="P85" s="4023"/>
      <c r="Q85" s="4024" t="s">
        <v>105</v>
      </c>
      <c r="R85" s="4025"/>
      <c r="S85" s="4026" t="str">
        <f>$J85</f>
        <v>1.3.1.1.2</v>
      </c>
      <c r="T85" s="4027" t="s">
        <v>535</v>
      </c>
      <c r="U85" s="4028"/>
      <c r="V85" s="3932"/>
      <c r="W85" s="3933"/>
      <c r="X85" s="3933"/>
      <c r="Y85" s="3933"/>
      <c r="Z85" s="3933"/>
      <c r="AA85" s="3933"/>
      <c r="AB85" s="3934"/>
      <c r="AC85" s="3932" t="s">
        <v>622</v>
      </c>
      <c r="AD85" s="3933"/>
      <c r="AE85" s="3933"/>
      <c r="AF85" s="3933"/>
      <c r="AG85" s="3933"/>
      <c r="AH85" s="3933"/>
      <c r="AI85" s="3933"/>
      <c r="AJ85" s="3932"/>
      <c r="AK85" s="3933"/>
      <c r="AL85" s="3933"/>
      <c r="AM85" s="3933"/>
      <c r="AN85" s="3933"/>
      <c r="AO85" s="3933"/>
      <c r="AP85" s="3934"/>
      <c r="AQ85" s="3934"/>
      <c r="AR85" s="4029" t="s">
        <v>610</v>
      </c>
      <c r="AS85" s="3983"/>
      <c r="AT85" s="4030"/>
      <c r="AU85" s="4030" t="str">
        <f>IF(T85="","",T85)</f>
        <v>Группа потребителей</v>
      </c>
      <c r="AV85" s="4030"/>
      <c r="AW85" s="4030"/>
      <c r="AX85" s="3916">
        <v>0</v>
      </c>
    </row>
    <row s="9784" customFormat="1" customHeight="1" ht="23.25">
      <c r="A86" s="4017"/>
      <c r="B86" s="4017"/>
      <c r="C86" s="4017"/>
      <c r="D86" s="4017"/>
      <c r="E86" s="4018"/>
      <c r="F86" s="4018"/>
      <c r="G86" s="4018"/>
      <c r="H86" s="4018"/>
      <c r="I86" s="4019"/>
      <c r="J86" s="4019" t="str">
        <f>I80&amp;".1"</f>
        <v>1.3.1.1.1</v>
      </c>
      <c r="K86" s="4020" t="str">
        <f>J85&amp;".1"</f>
        <v>1.3.1.1.2.1</v>
      </c>
      <c r="L86" s="4021"/>
      <c r="M86" s="4022"/>
      <c r="N86" s="4022"/>
      <c r="O86" s="4022"/>
      <c r="P86" s="4023"/>
      <c r="Q86" s="4023"/>
      <c r="R86" s="4025">
        <v>1</v>
      </c>
      <c r="S86" s="4026" t="str">
        <f>$K86</f>
        <v>1.3.1.1.2.1</v>
      </c>
      <c r="T86" s="4032"/>
      <c r="U86" s="4028"/>
      <c r="V86" s="3936"/>
      <c r="W86" s="3936"/>
      <c r="X86" s="3937"/>
      <c r="Y86" s="3938"/>
      <c r="Z86" s="3939" t="s">
        <v>66</v>
      </c>
      <c r="AA86" s="3938"/>
      <c r="AB86" s="3939" t="s">
        <v>66</v>
      </c>
      <c r="AC86" s="3936">
        <v>54.69</v>
      </c>
      <c r="AD86" s="3936"/>
      <c r="AE86" s="3937"/>
      <c r="AF86" s="3938">
        <v>45658</v>
      </c>
      <c r="AG86" s="3939" t="s">
        <v>66</v>
      </c>
      <c r="AH86" s="4006">
        <v>45838</v>
      </c>
      <c r="AI86" s="3939" t="s">
        <v>66</v>
      </c>
      <c r="AJ86" s="3936">
        <v>102.47</v>
      </c>
      <c r="AK86" s="3936"/>
      <c r="AL86" s="3937"/>
      <c r="AM86" s="3938">
        <v>45839</v>
      </c>
      <c r="AN86" s="3939" t="s">
        <v>66</v>
      </c>
      <c r="AO86" s="3938">
        <v>46022</v>
      </c>
      <c r="AP86" s="3939" t="s">
        <v>66</v>
      </c>
      <c r="AQ86" s="4033"/>
      <c r="AR86" s="4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86" s="3983">
        <f>STRCHECKDATE(V87:AQ87)</f>
      </c>
      <c r="AT86" s="4030"/>
      <c r="AU86" s="4030" t="str">
        <f>IF(T86="","",T86)</f>
        <v/>
      </c>
      <c r="AV86" s="4030"/>
      <c r="AW86" s="4030"/>
      <c r="AX86" s="3916">
        <v>0</v>
      </c>
    </row>
    <row s="9785" customFormat="1" customHeight="1" ht="14.25">
      <c r="A87" s="4017"/>
      <c r="B87" s="4017"/>
      <c r="C87" s="4017"/>
      <c r="D87" s="4017"/>
      <c r="E87" s="4018"/>
      <c r="F87" s="4018"/>
      <c r="G87" s="4018"/>
      <c r="H87" s="4018"/>
      <c r="I87" s="4019"/>
      <c r="J87" s="4019" t="str">
        <f>I80&amp;".1"</f>
        <v>1.3.1.1.1</v>
      </c>
      <c r="K87" s="4020"/>
      <c r="L87" s="4021"/>
      <c r="M87" s="4022"/>
      <c r="N87" s="4022"/>
      <c r="O87" s="4022"/>
      <c r="P87" s="4023"/>
      <c r="Q87" s="4023"/>
      <c r="R87" s="4025"/>
      <c r="S87" s="4036"/>
      <c r="T87" s="4028"/>
      <c r="U87" s="4028"/>
      <c r="V87" s="3943"/>
      <c r="W87" s="3943"/>
      <c r="X87" s="3944" t="str">
        <f>Y86&amp;"-"&amp;AA86</f>
        <v>-</v>
      </c>
      <c r="Y87" s="3945"/>
      <c r="Z87" s="3939"/>
      <c r="AA87" s="3945"/>
      <c r="AB87" s="3939"/>
      <c r="AC87" s="3943"/>
      <c r="AD87" s="3943"/>
      <c r="AE87" s="3944" t="str">
        <f>AF86&amp;"-"&amp;AH86</f>
        <v>45658-45838</v>
      </c>
      <c r="AF87" s="3945"/>
      <c r="AG87" s="3939"/>
      <c r="AH87" s="4008"/>
      <c r="AI87" s="3939"/>
      <c r="AJ87" s="3943"/>
      <c r="AK87" s="3943"/>
      <c r="AL87" s="3944" t="str">
        <f>AM86&amp;"-"&amp;AO86</f>
        <v>45839-46022</v>
      </c>
      <c r="AM87" s="3945"/>
      <c r="AN87" s="3939"/>
      <c r="AO87" s="3945"/>
      <c r="AP87" s="3939"/>
      <c r="AQ87" s="4037"/>
      <c r="AR87" s="4034"/>
      <c r="AS87" s="3983"/>
      <c r="AT87" s="4030"/>
      <c r="AU87" s="4030" t="str">
        <f>IF(T87="","",T87)</f>
        <v/>
      </c>
      <c r="AV87" s="4030"/>
      <c r="AW87" s="4030"/>
      <c r="AX87" s="3916">
        <v>0</v>
      </c>
    </row>
    <row s="9786" customFormat="1" customHeight="1" ht="21">
      <c r="A88" s="4017"/>
      <c r="B88" s="4017"/>
      <c r="C88" s="4017"/>
      <c r="D88" s="4017"/>
      <c r="E88" s="4018"/>
      <c r="F88" s="4018"/>
      <c r="G88" s="4018"/>
      <c r="H88" s="4018"/>
      <c r="I88" s="4019"/>
      <c r="J88" s="4020" t="str">
        <f>I80&amp;".1"</f>
        <v>1.3.1.1.1</v>
      </c>
      <c r="K88" s="4017"/>
      <c r="L88" s="4021"/>
      <c r="M88" s="4022"/>
      <c r="N88" s="4022"/>
      <c r="O88" s="4022"/>
      <c r="P88" s="4023"/>
      <c r="Q88" s="4023"/>
      <c r="R88" s="4039"/>
      <c r="S88" s="4312"/>
      <c r="T88" s="4313" t="s">
        <v>611</v>
      </c>
      <c r="U88" s="4314"/>
      <c r="V88" s="4315"/>
      <c r="W88" s="4316"/>
      <c r="X88" s="4317"/>
      <c r="Y88" s="4318"/>
      <c r="Z88" s="4319"/>
      <c r="AA88" s="4320"/>
      <c r="AB88" s="4321"/>
      <c r="AC88" s="4322"/>
      <c r="AD88" s="4323"/>
      <c r="AE88" s="4324"/>
      <c r="AF88" s="4325"/>
      <c r="AG88" s="4326"/>
      <c r="AH88" s="4327"/>
      <c r="AI88" s="4328"/>
      <c r="AJ88" s="4329"/>
      <c r="AK88" s="4330"/>
      <c r="AL88" s="4331"/>
      <c r="AM88" s="4332"/>
      <c r="AN88" s="4333"/>
      <c r="AO88" s="4334"/>
      <c r="AP88" s="4335"/>
      <c r="AQ88" s="4336"/>
      <c r="AR88" s="4065" t="s">
        <v>612</v>
      </c>
      <c r="AS88" s="3983"/>
      <c r="AT88" s="4030"/>
      <c r="AU88" s="4030" t="str">
        <f>IF(T88="","",T88)</f>
        <v>Добавить значение признака дифференциации</v>
      </c>
      <c r="AV88" s="4030"/>
      <c r="AW88" s="4030"/>
      <c r="AX88" s="3916">
        <v>0</v>
      </c>
    </row>
    <row s="9812" customFormat="1" customHeight="1" ht="23.25">
      <c r="A89" s="4017"/>
      <c r="B89" s="4017"/>
      <c r="C89" s="4017"/>
      <c r="D89" s="4017"/>
      <c r="E89" s="4018"/>
      <c r="F89" s="4018"/>
      <c r="G89" s="4018"/>
      <c r="H89" s="4018"/>
      <c r="I89" s="4019"/>
      <c r="J89" s="4020" t="str">
        <f>I80&amp;".3"</f>
        <v>1.3.1.1.3</v>
      </c>
      <c r="K89" s="4017"/>
      <c r="L89" s="4021" t="s">
        <v>534</v>
      </c>
      <c r="M89" s="4022"/>
      <c r="N89" s="4022"/>
      <c r="O89" s="4022"/>
      <c r="P89" s="4023"/>
      <c r="Q89" s="4024" t="s">
        <v>105</v>
      </c>
      <c r="R89" s="4025"/>
      <c r="S89" s="4026" t="str">
        <f>$J89</f>
        <v>1.3.1.1.3</v>
      </c>
      <c r="T89" s="4027" t="s">
        <v>535</v>
      </c>
      <c r="U89" s="4028"/>
      <c r="V89" s="3932"/>
      <c r="W89" s="3933"/>
      <c r="X89" s="3933"/>
      <c r="Y89" s="3933"/>
      <c r="Z89" s="3933"/>
      <c r="AA89" s="3933"/>
      <c r="AB89" s="3934"/>
      <c r="AC89" s="3932" t="s">
        <v>623</v>
      </c>
      <c r="AD89" s="3933"/>
      <c r="AE89" s="3933"/>
      <c r="AF89" s="3933"/>
      <c r="AG89" s="3933"/>
      <c r="AH89" s="3933"/>
      <c r="AI89" s="3933"/>
      <c r="AJ89" s="3932"/>
      <c r="AK89" s="3933"/>
      <c r="AL89" s="3933"/>
      <c r="AM89" s="3933"/>
      <c r="AN89" s="3933"/>
      <c r="AO89" s="3933"/>
      <c r="AP89" s="3934"/>
      <c r="AQ89" s="3934"/>
      <c r="AR89" s="4029" t="s">
        <v>610</v>
      </c>
      <c r="AS89" s="3983"/>
      <c r="AT89" s="4030"/>
      <c r="AU89" s="4030" t="str">
        <f>IF(T89="","",T89)</f>
        <v>Группа потребителей</v>
      </c>
      <c r="AV89" s="4030"/>
      <c r="AW89" s="4030"/>
      <c r="AX89" s="3916">
        <v>0</v>
      </c>
    </row>
    <row s="9813" customFormat="1" customHeight="1" ht="23.25">
      <c r="A90" s="4017"/>
      <c r="B90" s="4017"/>
      <c r="C90" s="4017"/>
      <c r="D90" s="4017"/>
      <c r="E90" s="4018"/>
      <c r="F90" s="4018"/>
      <c r="G90" s="4018"/>
      <c r="H90" s="4018"/>
      <c r="I90" s="4019"/>
      <c r="J90" s="4019" t="str">
        <f>I80&amp;".2"</f>
        <v>1.3.1.1.2</v>
      </c>
      <c r="K90" s="4020" t="str">
        <f>J89&amp;".1"</f>
        <v>1.3.1.1.3.1</v>
      </c>
      <c r="L90" s="4021"/>
      <c r="M90" s="4022"/>
      <c r="N90" s="4022"/>
      <c r="O90" s="4022"/>
      <c r="P90" s="4023"/>
      <c r="Q90" s="4023"/>
      <c r="R90" s="4025">
        <v>1</v>
      </c>
      <c r="S90" s="4026" t="str">
        <f>$K90</f>
        <v>1.3.1.1.3.1</v>
      </c>
      <c r="T90" s="4032"/>
      <c r="U90" s="4028"/>
      <c r="V90" s="3936"/>
      <c r="W90" s="3936"/>
      <c r="X90" s="3937"/>
      <c r="Y90" s="3938"/>
      <c r="Z90" s="3939" t="s">
        <v>66</v>
      </c>
      <c r="AA90" s="3938"/>
      <c r="AB90" s="3939" t="s">
        <v>66</v>
      </c>
      <c r="AC90" s="3936">
        <v>54.69</v>
      </c>
      <c r="AD90" s="3936"/>
      <c r="AE90" s="3937"/>
      <c r="AF90" s="3938">
        <v>45658</v>
      </c>
      <c r="AG90" s="3939" t="s">
        <v>66</v>
      </c>
      <c r="AH90" s="4006">
        <v>45838</v>
      </c>
      <c r="AI90" s="3939" t="s">
        <v>66</v>
      </c>
      <c r="AJ90" s="3936">
        <v>102.47</v>
      </c>
      <c r="AK90" s="3936"/>
      <c r="AL90" s="3937"/>
      <c r="AM90" s="3938">
        <v>45839</v>
      </c>
      <c r="AN90" s="3939" t="s">
        <v>66</v>
      </c>
      <c r="AO90" s="3938">
        <v>46022</v>
      </c>
      <c r="AP90" s="3939" t="s">
        <v>66</v>
      </c>
      <c r="AQ90" s="4033"/>
      <c r="AR90" s="4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90" s="3983">
        <f>STRCHECKDATE(V91:AQ91)</f>
      </c>
      <c r="AT90" s="4030"/>
      <c r="AU90" s="4030" t="str">
        <f>IF(T90="","",T90)</f>
        <v/>
      </c>
      <c r="AV90" s="4030"/>
      <c r="AW90" s="4030"/>
      <c r="AX90" s="3916">
        <v>0</v>
      </c>
    </row>
    <row s="9814" customFormat="1" customHeight="1" ht="14.25">
      <c r="A91" s="4017"/>
      <c r="B91" s="4017"/>
      <c r="C91" s="4017"/>
      <c r="D91" s="4017"/>
      <c r="E91" s="4018"/>
      <c r="F91" s="4018"/>
      <c r="G91" s="4018"/>
      <c r="H91" s="4018"/>
      <c r="I91" s="4019"/>
      <c r="J91" s="4019" t="str">
        <f>I80&amp;".2"</f>
        <v>1.3.1.1.2</v>
      </c>
      <c r="K91" s="4020"/>
      <c r="L91" s="4021"/>
      <c r="M91" s="4022"/>
      <c r="N91" s="4022"/>
      <c r="O91" s="4022"/>
      <c r="P91" s="4023"/>
      <c r="Q91" s="4023"/>
      <c r="R91" s="4025"/>
      <c r="S91" s="4036"/>
      <c r="T91" s="4028"/>
      <c r="U91" s="4028"/>
      <c r="V91" s="3943"/>
      <c r="W91" s="3943"/>
      <c r="X91" s="3944" t="str">
        <f>Y90&amp;"-"&amp;AA90</f>
        <v>-</v>
      </c>
      <c r="Y91" s="3945"/>
      <c r="Z91" s="3939"/>
      <c r="AA91" s="3945"/>
      <c r="AB91" s="3939"/>
      <c r="AC91" s="3943"/>
      <c r="AD91" s="3943"/>
      <c r="AE91" s="3944" t="str">
        <f>AF90&amp;"-"&amp;AH90</f>
        <v>45658-45838</v>
      </c>
      <c r="AF91" s="3945"/>
      <c r="AG91" s="3939"/>
      <c r="AH91" s="4008"/>
      <c r="AI91" s="3939"/>
      <c r="AJ91" s="3943"/>
      <c r="AK91" s="3943"/>
      <c r="AL91" s="3944" t="str">
        <f>AM90&amp;"-"&amp;AO90</f>
        <v>45839-46022</v>
      </c>
      <c r="AM91" s="3945"/>
      <c r="AN91" s="3939"/>
      <c r="AO91" s="3945"/>
      <c r="AP91" s="3939"/>
      <c r="AQ91" s="4037"/>
      <c r="AR91" s="4034"/>
      <c r="AS91" s="3983"/>
      <c r="AT91" s="4030"/>
      <c r="AU91" s="4030" t="str">
        <f>IF(T91="","",T91)</f>
        <v/>
      </c>
      <c r="AV91" s="4030"/>
      <c r="AW91" s="4030"/>
      <c r="AX91" s="3916">
        <v>0</v>
      </c>
    </row>
    <row s="9815" customFormat="1" customHeight="1" ht="21">
      <c r="A92" s="4017"/>
      <c r="B92" s="4017"/>
      <c r="C92" s="4017"/>
      <c r="D92" s="4017"/>
      <c r="E92" s="4018"/>
      <c r="F92" s="4018"/>
      <c r="G92" s="4018"/>
      <c r="H92" s="4018"/>
      <c r="I92" s="4019"/>
      <c r="J92" s="4020" t="str">
        <f>I80&amp;".2"</f>
        <v>1.3.1.1.2</v>
      </c>
      <c r="K92" s="4017"/>
      <c r="L92" s="4021"/>
      <c r="M92" s="4022"/>
      <c r="N92" s="4022"/>
      <c r="O92" s="4022"/>
      <c r="P92" s="4023"/>
      <c r="Q92" s="4023"/>
      <c r="R92" s="4039"/>
      <c r="S92" s="4341"/>
      <c r="T92" s="4342" t="s">
        <v>611</v>
      </c>
      <c r="U92" s="4343"/>
      <c r="V92" s="4344"/>
      <c r="W92" s="4345"/>
      <c r="X92" s="4346"/>
      <c r="Y92" s="4347"/>
      <c r="Z92" s="4348"/>
      <c r="AA92" s="4349"/>
      <c r="AB92" s="4350"/>
      <c r="AC92" s="4351"/>
      <c r="AD92" s="4352"/>
      <c r="AE92" s="4353"/>
      <c r="AF92" s="4354"/>
      <c r="AG92" s="4355"/>
      <c r="AH92" s="4356"/>
      <c r="AI92" s="4357"/>
      <c r="AJ92" s="4358"/>
      <c r="AK92" s="4359"/>
      <c r="AL92" s="4360"/>
      <c r="AM92" s="4361"/>
      <c r="AN92" s="4362"/>
      <c r="AO92" s="4363"/>
      <c r="AP92" s="4364"/>
      <c r="AQ92" s="4365"/>
      <c r="AR92" s="4065" t="s">
        <v>612</v>
      </c>
      <c r="AS92" s="3983"/>
      <c r="AT92" s="4030"/>
      <c r="AU92" s="4030" t="str">
        <f>IF(T92="","",T92)</f>
        <v>Добавить значение признака дифференциации</v>
      </c>
      <c r="AV92" s="4030"/>
      <c r="AW92" s="4030"/>
      <c r="AX92" s="3916">
        <v>0</v>
      </c>
    </row>
    <row s="9841" customFormat="1" customHeight="1" ht="21">
      <c r="A93" s="4017"/>
      <c r="B93" s="4017"/>
      <c r="C93" s="4017"/>
      <c r="D93" s="4017"/>
      <c r="E93" s="4018"/>
      <c r="F93" s="4018" t="s">
        <v>104</v>
      </c>
      <c r="G93" s="4018"/>
      <c r="H93" s="4018"/>
      <c r="I93" s="4020"/>
      <c r="J93" s="4017"/>
      <c r="K93" s="4017"/>
      <c r="L93" s="4021"/>
      <c r="M93" s="4022"/>
      <c r="N93" s="4022"/>
      <c r="O93" s="4022"/>
      <c r="P93" s="4023"/>
      <c r="Q93" s="4023"/>
      <c r="R93" s="4039"/>
      <c r="S93" s="4367"/>
      <c r="T93" s="4368" t="s">
        <v>540</v>
      </c>
      <c r="U93" s="4369"/>
      <c r="V93" s="4370"/>
      <c r="W93" s="4371"/>
      <c r="X93" s="4372"/>
      <c r="Y93" s="4373"/>
      <c r="Z93" s="4374"/>
      <c r="AA93" s="4375"/>
      <c r="AB93" s="4376"/>
      <c r="AC93" s="4377"/>
      <c r="AD93" s="4378"/>
      <c r="AE93" s="4379"/>
      <c r="AF93" s="4380"/>
      <c r="AG93" s="4381"/>
      <c r="AH93" s="4382"/>
      <c r="AI93" s="4383"/>
      <c r="AJ93" s="4384"/>
      <c r="AK93" s="4385"/>
      <c r="AL93" s="4386"/>
      <c r="AM93" s="4387"/>
      <c r="AN93" s="4388"/>
      <c r="AO93" s="4389"/>
      <c r="AP93" s="4390"/>
      <c r="AQ93" s="4391"/>
      <c r="AR93" s="4392"/>
      <c r="AS93" s="3983"/>
      <c r="AT93" s="4030"/>
      <c r="AU93" s="4030" t="str">
        <f>IF(T93="","",T93)</f>
        <v>Добавить группу потребителей</v>
      </c>
      <c r="AV93" s="4030"/>
      <c r="AW93" s="4030"/>
      <c r="AX93" s="3916">
        <v>0</v>
      </c>
    </row>
    <row s="9868" customFormat="1" customHeight="1" ht="14.25">
      <c r="A94" s="4017"/>
      <c r="B94" s="4017"/>
      <c r="C94" s="4017"/>
      <c r="D94" s="4017"/>
      <c r="E94" s="4018"/>
      <c r="F94" s="4018" t="s">
        <v>104</v>
      </c>
      <c r="G94" s="4018"/>
      <c r="H94" s="4110"/>
      <c r="I94" s="4017"/>
      <c r="J94" s="4017"/>
      <c r="K94" s="4017"/>
      <c r="L94" s="4021"/>
      <c r="M94" s="4111"/>
      <c r="N94" s="4111"/>
      <c r="O94" s="3973"/>
      <c r="P94" s="4239"/>
      <c r="Q94" s="4240"/>
      <c r="R94" s="4241"/>
      <c r="S94" s="4394"/>
      <c r="T94" s="4395" t="s">
        <v>613</v>
      </c>
      <c r="U94" s="4396"/>
      <c r="V94" s="4397"/>
      <c r="W94" s="4398"/>
      <c r="X94" s="4399"/>
      <c r="Y94" s="4400"/>
      <c r="Z94" s="4401"/>
      <c r="AA94" s="4402"/>
      <c r="AB94" s="4403"/>
      <c r="AC94" s="4404"/>
      <c r="AD94" s="4405"/>
      <c r="AE94" s="4406"/>
      <c r="AF94" s="4407"/>
      <c r="AG94" s="4408"/>
      <c r="AH94" s="4409"/>
      <c r="AI94" s="4410"/>
      <c r="AJ94" s="4411"/>
      <c r="AK94" s="4412"/>
      <c r="AL94" s="4413"/>
      <c r="AM94" s="4414"/>
      <c r="AN94" s="4415"/>
      <c r="AO94" s="4416"/>
      <c r="AP94" s="4417"/>
      <c r="AQ94" s="4418"/>
      <c r="AR94" s="4419"/>
      <c r="AS94" s="3983"/>
      <c r="AT94" s="4030"/>
      <c r="AU94" s="4030" t="str">
        <f>IF(T94="","",T94)</f>
        <v>Добавить наименование признака дифференциации</v>
      </c>
      <c r="AV94" s="4030"/>
      <c r="AW94" s="4030"/>
      <c r="AX94" s="3916">
        <v>0</v>
      </c>
    </row>
    <row s="9895" customFormat="1" customHeight="1" ht="14.25">
      <c r="A95" s="4269"/>
      <c r="B95" s="4269"/>
      <c r="C95" s="4269"/>
      <c r="D95" s="4269"/>
      <c r="E95" s="4018"/>
      <c r="F95" s="4110" t="s">
        <v>104</v>
      </c>
      <c r="G95" s="4269"/>
      <c r="H95" s="4269"/>
      <c r="I95" s="4269"/>
      <c r="J95" s="4269"/>
      <c r="K95" s="4269"/>
      <c r="L95" s="4270"/>
      <c r="M95" s="4271"/>
      <c r="N95" s="4271"/>
      <c r="O95" s="3983"/>
      <c r="P95" s="4272"/>
      <c r="Q95" s="4273"/>
      <c r="R95" s="4272"/>
      <c r="S95" s="4274"/>
      <c r="T95" s="4275" t="s">
        <v>298</v>
      </c>
      <c r="U95" s="3971"/>
      <c r="V95" s="3971"/>
      <c r="W95" s="3971"/>
      <c r="X95" s="3971"/>
      <c r="Y95" s="3971"/>
      <c r="Z95" s="3971"/>
      <c r="AA95" s="3971"/>
      <c r="AB95" s="3971"/>
      <c r="AC95" s="3971"/>
      <c r="AD95" s="3971"/>
      <c r="AE95" s="3971"/>
      <c r="AF95" s="3971"/>
      <c r="AG95" s="3971"/>
      <c r="AH95" s="3971"/>
      <c r="AI95" s="3971"/>
      <c r="AJ95" s="3971"/>
      <c r="AK95" s="3971"/>
      <c r="AL95" s="3971"/>
      <c r="AM95" s="3971"/>
      <c r="AN95" s="3971"/>
      <c r="AO95" s="3971"/>
      <c r="AP95" s="3971"/>
      <c r="AQ95" s="3971"/>
      <c r="AR95" s="3971"/>
      <c r="AS95" s="3983"/>
      <c r="AT95" s="4030"/>
      <c r="AU95" s="4030" t="str">
        <f>IF(T95="","",T95)</f>
        <v>Добавить централизованную систему для дифференциации</v>
      </c>
      <c r="AV95" s="4030"/>
      <c r="AW95" s="4030"/>
      <c r="AX95" s="3983">
        <v>0</v>
      </c>
    </row>
    <row s="9896" customFormat="1" customHeight="1" ht="23.25">
      <c r="A96" s="4017"/>
      <c r="B96" s="4017" t="s">
        <v>305</v>
      </c>
      <c r="C96" s="4017"/>
      <c r="D96" s="4017"/>
      <c r="E96" s="4018"/>
      <c r="F96" s="4110" t="s">
        <v>91</v>
      </c>
      <c r="G96" s="4017"/>
      <c r="H96" s="4017"/>
      <c r="I96" s="4017"/>
      <c r="J96" s="4017"/>
      <c r="K96" s="4017"/>
      <c r="L96" s="4021"/>
      <c r="M96" s="4111"/>
      <c r="N96" s="4111"/>
      <c r="O96" s="4111"/>
      <c r="P96" s="4112"/>
      <c r="Q96" s="4113"/>
      <c r="R96" s="4114"/>
      <c r="S96" s="4026" t="str">
        <f>INDEX(PT_DIFFERENTIATION_NUM_TER,MATCH(B96,PT_DIFFERENTIATION_TER_ID,0))</f>
        <v>1.4</v>
      </c>
      <c r="T96" s="4115" t="s">
        <v>525</v>
      </c>
      <c r="U96" s="4028"/>
      <c r="V96" s="3918"/>
      <c r="W96" s="3919"/>
      <c r="X96" s="3919"/>
      <c r="Y96" s="3919"/>
      <c r="Z96" s="3919"/>
      <c r="AA96" s="3919"/>
      <c r="AB96" s="3920"/>
      <c r="AC96" s="3918" t="str">
        <f>INDEX(PT_DIFFERENTIATION_TER,MATCH(B96,PT_DIFFERENTIATION_TER_ID,0))</f>
        <v>Территория 4</v>
      </c>
      <c r="AD96" s="3919"/>
      <c r="AE96" s="3919"/>
      <c r="AF96" s="3919"/>
      <c r="AG96" s="3919"/>
      <c r="AH96" s="3919"/>
      <c r="AI96" s="3919"/>
      <c r="AJ96" s="3918"/>
      <c r="AK96" s="3919"/>
      <c r="AL96" s="3919"/>
      <c r="AM96" s="3919"/>
      <c r="AN96" s="3919"/>
      <c r="AO96" s="3919"/>
      <c r="AP96" s="3920"/>
      <c r="AQ96" s="3920"/>
      <c r="AR96" s="4065" t="s">
        <v>526</v>
      </c>
      <c r="AS96" s="3983"/>
      <c r="AT96" s="4030"/>
      <c r="AU96" s="4030" t="str">
        <f>IF(T96="","",T96)</f>
        <v>Территория действия тарифа</v>
      </c>
      <c r="AV96" s="4030"/>
      <c r="AW96" s="4030"/>
      <c r="AX96" s="3916">
        <v>0</v>
      </c>
    </row>
    <row s="9897" customFormat="1" customHeight="1" ht="23.25">
      <c r="A97" s="4017"/>
      <c r="B97" s="4017"/>
      <c r="C97" s="4017" t="s">
        <v>306</v>
      </c>
      <c r="D97" s="4017"/>
      <c r="E97" s="4018"/>
      <c r="F97" s="4018" t="s">
        <v>90</v>
      </c>
      <c r="G97" s="4110">
        <v>1</v>
      </c>
      <c r="H97" s="4017"/>
      <c r="I97" s="4017"/>
      <c r="J97" s="4017"/>
      <c r="K97" s="4017"/>
      <c r="L97" s="4021"/>
      <c r="M97" s="4111"/>
      <c r="N97" s="4111"/>
      <c r="O97" s="4111"/>
      <c r="P97" s="4117"/>
      <c r="Q97" s="4113"/>
      <c r="R97" s="4114"/>
      <c r="S97" s="4026" t="str">
        <f>INDEX(PT_DIFFERENTIATION_NUM_CS,MATCH(C97,PT_DIFFERENTIATION_CS_ID,0))</f>
        <v>1.4.1</v>
      </c>
      <c r="T97" s="4118" t="s">
        <v>606</v>
      </c>
      <c r="U97" s="4028"/>
      <c r="V97" s="3918"/>
      <c r="W97" s="3919"/>
      <c r="X97" s="3919"/>
      <c r="Y97" s="3919"/>
      <c r="Z97" s="3919"/>
      <c r="AA97" s="3919"/>
      <c r="AB97" s="3920"/>
      <c r="AC97" s="3918" t="str">
        <f>INDEX(PT_DIFFERENTIATION_CS,MATCH(C97,PT_DIFFERENTIATION_CS_ID,0))</f>
        <v>без дифференциации</v>
      </c>
      <c r="AD97" s="3919"/>
      <c r="AE97" s="3919"/>
      <c r="AF97" s="3919"/>
      <c r="AG97" s="3919"/>
      <c r="AH97" s="3919"/>
      <c r="AI97" s="3919"/>
      <c r="AJ97" s="3918"/>
      <c r="AK97" s="3919"/>
      <c r="AL97" s="3919"/>
      <c r="AM97" s="3919"/>
      <c r="AN97" s="3919"/>
      <c r="AO97" s="3919"/>
      <c r="AP97" s="3920"/>
      <c r="AQ97" s="3920"/>
      <c r="AR97" s="4065" t="s">
        <v>607</v>
      </c>
      <c r="AS97" s="3983"/>
      <c r="AT97" s="4030"/>
      <c r="AU97" s="4030" t="str">
        <f>IF(T97="","",T97)</f>
        <v>Наименование централизованной системы холодного водоснабжения</v>
      </c>
      <c r="AV97" s="4030"/>
      <c r="AW97" s="4030"/>
      <c r="AX97" s="3916">
        <v>0</v>
      </c>
    </row>
    <row s="9898" customFormat="1" customHeight="1" ht="23.25">
      <c r="A98" s="4017"/>
      <c r="B98" s="4017"/>
      <c r="C98" s="4017"/>
      <c r="D98" s="4017"/>
      <c r="E98" s="4018"/>
      <c r="F98" s="4018" t="s">
        <v>90</v>
      </c>
      <c r="G98" s="4018"/>
      <c r="H98" s="4018"/>
      <c r="I98" s="4020" t="str">
        <f>S97&amp;".1"</f>
        <v>1.4.1.1</v>
      </c>
      <c r="J98" s="4017"/>
      <c r="K98" s="4017"/>
      <c r="L98" s="4021"/>
      <c r="M98" s="4022"/>
      <c r="N98" s="4022"/>
      <c r="O98" s="4022"/>
      <c r="P98" s="4023">
        <v>1</v>
      </c>
      <c r="Q98" s="4023"/>
      <c r="R98" s="4039"/>
      <c r="S98" s="4026" t="str">
        <f>$I98</f>
        <v>1.4.1.1</v>
      </c>
      <c r="T98" s="4120" t="s">
        <v>608</v>
      </c>
      <c r="U98" s="4028"/>
      <c r="V98" s="3928"/>
      <c r="W98" s="3929"/>
      <c r="X98" s="3929"/>
      <c r="Y98" s="3929"/>
      <c r="Z98" s="3929"/>
      <c r="AA98" s="3929"/>
      <c r="AB98" s="3930"/>
      <c r="AC98" s="4121"/>
      <c r="AD98" s="4122"/>
      <c r="AE98" s="4122"/>
      <c r="AF98" s="4122"/>
      <c r="AG98" s="4122"/>
      <c r="AH98" s="4122"/>
      <c r="AI98" s="4122"/>
      <c r="AJ98" s="3928"/>
      <c r="AK98" s="3929"/>
      <c r="AL98" s="3929"/>
      <c r="AM98" s="3929"/>
      <c r="AN98" s="3929"/>
      <c r="AO98" s="3929"/>
      <c r="AP98" s="3930"/>
      <c r="AQ98" s="4123"/>
      <c r="AR98" s="4065" t="s">
        <v>609</v>
      </c>
      <c r="AS98" s="3983"/>
      <c r="AT98" s="4030"/>
      <c r="AU98" s="4030" t="str">
        <f>IF(T98="","",T98)</f>
        <v>Наименование признака дифференциации</v>
      </c>
      <c r="AV98" s="4030"/>
      <c r="AW98" s="4030"/>
      <c r="AX98" s="3916">
        <v>0</v>
      </c>
    </row>
    <row s="9899" customFormat="1" customHeight="1" ht="23.25">
      <c r="A99" s="4017"/>
      <c r="B99" s="4017"/>
      <c r="C99" s="4017"/>
      <c r="D99" s="4017"/>
      <c r="E99" s="4018"/>
      <c r="F99" s="4018" t="s">
        <v>90</v>
      </c>
      <c r="G99" s="4018"/>
      <c r="H99" s="4018"/>
      <c r="I99" s="4019"/>
      <c r="J99" s="4020" t="str">
        <f>I98&amp;".1"</f>
        <v>1.4.1.1.1</v>
      </c>
      <c r="K99" s="4017"/>
      <c r="L99" s="4021" t="s">
        <v>534</v>
      </c>
      <c r="M99" s="4022"/>
      <c r="N99" s="4022"/>
      <c r="O99" s="4022"/>
      <c r="P99" s="4023"/>
      <c r="Q99" s="4023">
        <v>1</v>
      </c>
      <c r="R99" s="4025"/>
      <c r="S99" s="4026" t="str">
        <f>$J99</f>
        <v>1.4.1.1.1</v>
      </c>
      <c r="T99" s="4027" t="s">
        <v>535</v>
      </c>
      <c r="U99" s="4028"/>
      <c r="V99" s="3932"/>
      <c r="W99" s="3933"/>
      <c r="X99" s="3933"/>
      <c r="Y99" s="3933"/>
      <c r="Z99" s="3933"/>
      <c r="AA99" s="3933"/>
      <c r="AB99" s="3934"/>
      <c r="AC99" s="3932" t="s">
        <v>621</v>
      </c>
      <c r="AD99" s="3933"/>
      <c r="AE99" s="3933"/>
      <c r="AF99" s="3933"/>
      <c r="AG99" s="3933"/>
      <c r="AH99" s="3933"/>
      <c r="AI99" s="3933"/>
      <c r="AJ99" s="3932"/>
      <c r="AK99" s="3933"/>
      <c r="AL99" s="3933"/>
      <c r="AM99" s="3933"/>
      <c r="AN99" s="3933"/>
      <c r="AO99" s="3933"/>
      <c r="AP99" s="3934"/>
      <c r="AQ99" s="3934"/>
      <c r="AR99" s="4029" t="s">
        <v>610</v>
      </c>
      <c r="AS99" s="3983"/>
      <c r="AT99" s="4030"/>
      <c r="AU99" s="4030" t="str">
        <f>IF(T99="","",T99)</f>
        <v>Группа потребителей</v>
      </c>
      <c r="AV99" s="4030"/>
      <c r="AW99" s="4030"/>
      <c r="AX99" s="3916">
        <v>0</v>
      </c>
    </row>
    <row s="9900" customFormat="1" customHeight="1" ht="23.25">
      <c r="A100" s="4017"/>
      <c r="B100" s="4017"/>
      <c r="C100" s="4017"/>
      <c r="D100" s="4017"/>
      <c r="E100" s="4018"/>
      <c r="F100" s="4018" t="s">
        <v>90</v>
      </c>
      <c r="G100" s="4018"/>
      <c r="H100" s="4018"/>
      <c r="I100" s="4019"/>
      <c r="J100" s="4019"/>
      <c r="K100" s="4020" t="str">
        <f>J99&amp;".1"</f>
        <v>1.4.1.1.1.1</v>
      </c>
      <c r="L100" s="4021"/>
      <c r="M100" s="4022"/>
      <c r="N100" s="4022"/>
      <c r="O100" s="4022"/>
      <c r="P100" s="4023"/>
      <c r="Q100" s="4023"/>
      <c r="R100" s="4025">
        <v>1</v>
      </c>
      <c r="S100" s="4026" t="str">
        <f>$K100</f>
        <v>1.4.1.1.1.1</v>
      </c>
      <c r="T100" s="4032"/>
      <c r="U100" s="4028"/>
      <c r="V100" s="3936"/>
      <c r="W100" s="3936"/>
      <c r="X100" s="3937"/>
      <c r="Y100" s="3938"/>
      <c r="Z100" s="3939" t="s">
        <v>66</v>
      </c>
      <c r="AA100" s="3938"/>
      <c r="AB100" s="3939" t="s">
        <v>66</v>
      </c>
      <c r="AC100" s="3936">
        <v>57.42</v>
      </c>
      <c r="AD100" s="3936"/>
      <c r="AE100" s="3937"/>
      <c r="AF100" s="3938">
        <v>45658</v>
      </c>
      <c r="AG100" s="3939" t="s">
        <v>66</v>
      </c>
      <c r="AH100" s="4006">
        <v>45838</v>
      </c>
      <c r="AI100" s="3939" t="s">
        <v>66</v>
      </c>
      <c r="AJ100" s="3936">
        <v>62.02</v>
      </c>
      <c r="AK100" s="3936"/>
      <c r="AL100" s="3937"/>
      <c r="AM100" s="3938">
        <v>45839</v>
      </c>
      <c r="AN100" s="3939" t="s">
        <v>66</v>
      </c>
      <c r="AO100" s="3938">
        <v>46022</v>
      </c>
      <c r="AP100" s="3939" t="s">
        <v>66</v>
      </c>
      <c r="AQ100" s="4033"/>
      <c r="AR100" s="4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100" s="3983">
        <f>STRCHECKDATE(V101:AQ101)</f>
      </c>
      <c r="AT100" s="4030"/>
      <c r="AU100" s="4030" t="str">
        <f>IF(T100="","",T100)</f>
        <v/>
      </c>
      <c r="AV100" s="4030"/>
      <c r="AW100" s="4030"/>
      <c r="AX100" s="3916">
        <v>0</v>
      </c>
    </row>
    <row s="9901" customFormat="1" customHeight="1" ht="14.25">
      <c r="A101" s="4017"/>
      <c r="B101" s="4017"/>
      <c r="C101" s="4017"/>
      <c r="D101" s="4017"/>
      <c r="E101" s="4018"/>
      <c r="F101" s="4018" t="s">
        <v>90</v>
      </c>
      <c r="G101" s="4018"/>
      <c r="H101" s="4018"/>
      <c r="I101" s="4019"/>
      <c r="J101" s="4019"/>
      <c r="K101" s="4020"/>
      <c r="L101" s="4021"/>
      <c r="M101" s="4022"/>
      <c r="N101" s="4022"/>
      <c r="O101" s="4022"/>
      <c r="P101" s="4023"/>
      <c r="Q101" s="4023"/>
      <c r="R101" s="4025"/>
      <c r="S101" s="4036"/>
      <c r="T101" s="4028"/>
      <c r="U101" s="4028"/>
      <c r="V101" s="3943"/>
      <c r="W101" s="3943"/>
      <c r="X101" s="3944" t="str">
        <f>Y100&amp;"-"&amp;AA100</f>
        <v>-</v>
      </c>
      <c r="Y101" s="3945"/>
      <c r="Z101" s="3939"/>
      <c r="AA101" s="3945"/>
      <c r="AB101" s="3939"/>
      <c r="AC101" s="3943"/>
      <c r="AD101" s="3943"/>
      <c r="AE101" s="3944" t="str">
        <f>AF100&amp;"-"&amp;AH100</f>
        <v>45658-45838</v>
      </c>
      <c r="AF101" s="3945"/>
      <c r="AG101" s="3939"/>
      <c r="AH101" s="4008"/>
      <c r="AI101" s="3939"/>
      <c r="AJ101" s="3943"/>
      <c r="AK101" s="3943"/>
      <c r="AL101" s="3944" t="str">
        <f>AM100&amp;"-"&amp;AO100</f>
        <v>45839-46022</v>
      </c>
      <c r="AM101" s="3945"/>
      <c r="AN101" s="3939"/>
      <c r="AO101" s="3945"/>
      <c r="AP101" s="3939"/>
      <c r="AQ101" s="4037"/>
      <c r="AR101" s="4034"/>
      <c r="AS101" s="3983"/>
      <c r="AT101" s="4030"/>
      <c r="AU101" s="4030" t="str">
        <f>IF(T101="","",T101)</f>
        <v/>
      </c>
      <c r="AV101" s="4030"/>
      <c r="AW101" s="4030"/>
      <c r="AX101" s="3916">
        <v>0</v>
      </c>
    </row>
    <row s="9902" customFormat="1" customHeight="1" ht="21">
      <c r="A102" s="4017"/>
      <c r="B102" s="4017"/>
      <c r="C102" s="4017"/>
      <c r="D102" s="4017"/>
      <c r="E102" s="4018"/>
      <c r="F102" s="4018" t="s">
        <v>90</v>
      </c>
      <c r="G102" s="4018"/>
      <c r="H102" s="4018"/>
      <c r="I102" s="4019"/>
      <c r="J102" s="4020"/>
      <c r="K102" s="4017"/>
      <c r="L102" s="4021"/>
      <c r="M102" s="4022"/>
      <c r="N102" s="4022"/>
      <c r="O102" s="4022"/>
      <c r="P102" s="4023"/>
      <c r="Q102" s="4023"/>
      <c r="R102" s="4039"/>
      <c r="S102" s="4428"/>
      <c r="T102" s="4429" t="s">
        <v>611</v>
      </c>
      <c r="U102" s="4430"/>
      <c r="V102" s="4431"/>
      <c r="W102" s="4432"/>
      <c r="X102" s="4433"/>
      <c r="Y102" s="4434"/>
      <c r="Z102" s="4435"/>
      <c r="AA102" s="4436"/>
      <c r="AB102" s="4437"/>
      <c r="AC102" s="4438"/>
      <c r="AD102" s="4439"/>
      <c r="AE102" s="4440"/>
      <c r="AF102" s="4441"/>
      <c r="AG102" s="4442"/>
      <c r="AH102" s="4443"/>
      <c r="AI102" s="4444"/>
      <c r="AJ102" s="4445"/>
      <c r="AK102" s="4446"/>
      <c r="AL102" s="4447"/>
      <c r="AM102" s="4448"/>
      <c r="AN102" s="4449"/>
      <c r="AO102" s="4450"/>
      <c r="AP102" s="4451"/>
      <c r="AQ102" s="4452"/>
      <c r="AR102" s="4065" t="s">
        <v>612</v>
      </c>
      <c r="AS102" s="3983"/>
      <c r="AT102" s="4030"/>
      <c r="AU102" s="4030" t="str">
        <f>IF(T102="","",T102)</f>
        <v>Добавить значение признака дифференциации</v>
      </c>
      <c r="AV102" s="4030"/>
      <c r="AW102" s="4030"/>
      <c r="AX102" s="3916">
        <v>0</v>
      </c>
    </row>
    <row s="9928" customFormat="1" customHeight="1" ht="23.25">
      <c r="A103" s="4017"/>
      <c r="B103" s="4017"/>
      <c r="C103" s="4017"/>
      <c r="D103" s="4017"/>
      <c r="E103" s="4018"/>
      <c r="F103" s="4018"/>
      <c r="G103" s="4018"/>
      <c r="H103" s="4018"/>
      <c r="I103" s="4019"/>
      <c r="J103" s="4020" t="str">
        <f>I98&amp;".2"</f>
        <v>1.4.1.1.2</v>
      </c>
      <c r="K103" s="4017"/>
      <c r="L103" s="4021" t="s">
        <v>534</v>
      </c>
      <c r="M103" s="4022"/>
      <c r="N103" s="4022"/>
      <c r="O103" s="4022"/>
      <c r="P103" s="4023"/>
      <c r="Q103" s="4024" t="s">
        <v>105</v>
      </c>
      <c r="R103" s="4025"/>
      <c r="S103" s="4026" t="str">
        <f>$J103</f>
        <v>1.4.1.1.2</v>
      </c>
      <c r="T103" s="4027" t="s">
        <v>535</v>
      </c>
      <c r="U103" s="4028"/>
      <c r="V103" s="3932"/>
      <c r="W103" s="3933"/>
      <c r="X103" s="3933"/>
      <c r="Y103" s="3933"/>
      <c r="Z103" s="3933"/>
      <c r="AA103" s="3933"/>
      <c r="AB103" s="3934"/>
      <c r="AC103" s="3932" t="s">
        <v>622</v>
      </c>
      <c r="AD103" s="3933"/>
      <c r="AE103" s="3933"/>
      <c r="AF103" s="3933"/>
      <c r="AG103" s="3933"/>
      <c r="AH103" s="3933"/>
      <c r="AI103" s="3933"/>
      <c r="AJ103" s="3932"/>
      <c r="AK103" s="3933"/>
      <c r="AL103" s="3933"/>
      <c r="AM103" s="3933"/>
      <c r="AN103" s="3933"/>
      <c r="AO103" s="3933"/>
      <c r="AP103" s="3934"/>
      <c r="AQ103" s="3934"/>
      <c r="AR103" s="4029" t="s">
        <v>610</v>
      </c>
      <c r="AS103" s="3983"/>
      <c r="AT103" s="4030"/>
      <c r="AU103" s="4030" t="str">
        <f>IF(T103="","",T103)</f>
        <v>Группа потребителей</v>
      </c>
      <c r="AV103" s="4030"/>
      <c r="AW103" s="4030"/>
      <c r="AX103" s="3916">
        <v>0</v>
      </c>
    </row>
    <row s="9929" customFormat="1" customHeight="1" ht="23.25">
      <c r="A104" s="4017"/>
      <c r="B104" s="4017"/>
      <c r="C104" s="4017"/>
      <c r="D104" s="4017"/>
      <c r="E104" s="4018"/>
      <c r="F104" s="4018"/>
      <c r="G104" s="4018"/>
      <c r="H104" s="4018"/>
      <c r="I104" s="4019"/>
      <c r="J104" s="4019" t="str">
        <f>I98&amp;".1"</f>
        <v>1.4.1.1.1</v>
      </c>
      <c r="K104" s="4020" t="str">
        <f>J103&amp;".1"</f>
        <v>1.4.1.1.2.1</v>
      </c>
      <c r="L104" s="4021"/>
      <c r="M104" s="4022"/>
      <c r="N104" s="4022"/>
      <c r="O104" s="4022"/>
      <c r="P104" s="4023"/>
      <c r="Q104" s="4023"/>
      <c r="R104" s="4025">
        <v>1</v>
      </c>
      <c r="S104" s="4026" t="str">
        <f>$K104</f>
        <v>1.4.1.1.2.1</v>
      </c>
      <c r="T104" s="4032"/>
      <c r="U104" s="4028"/>
      <c r="V104" s="3936"/>
      <c r="W104" s="3936"/>
      <c r="X104" s="3937"/>
      <c r="Y104" s="3938"/>
      <c r="Z104" s="3939" t="s">
        <v>66</v>
      </c>
      <c r="AA104" s="3938"/>
      <c r="AB104" s="3939" t="s">
        <v>66</v>
      </c>
      <c r="AC104" s="3936">
        <v>54.69</v>
      </c>
      <c r="AD104" s="3936"/>
      <c r="AE104" s="3937"/>
      <c r="AF104" s="3938">
        <v>45658</v>
      </c>
      <c r="AG104" s="3939" t="s">
        <v>66</v>
      </c>
      <c r="AH104" s="4006">
        <v>45838</v>
      </c>
      <c r="AI104" s="3939" t="s">
        <v>66</v>
      </c>
      <c r="AJ104" s="3936">
        <v>102.47</v>
      </c>
      <c r="AK104" s="3936"/>
      <c r="AL104" s="3937"/>
      <c r="AM104" s="3938">
        <v>45839</v>
      </c>
      <c r="AN104" s="3939" t="s">
        <v>66</v>
      </c>
      <c r="AO104" s="3938">
        <v>46022</v>
      </c>
      <c r="AP104" s="3939" t="s">
        <v>66</v>
      </c>
      <c r="AQ104" s="4033"/>
      <c r="AR104" s="4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104" s="3983">
        <f>STRCHECKDATE(V105:AQ105)</f>
      </c>
      <c r="AT104" s="4030"/>
      <c r="AU104" s="4030" t="str">
        <f>IF(T104="","",T104)</f>
        <v/>
      </c>
      <c r="AV104" s="4030"/>
      <c r="AW104" s="4030"/>
      <c r="AX104" s="3916">
        <v>0</v>
      </c>
    </row>
    <row s="9930" customFormat="1" customHeight="1" ht="14.25">
      <c r="A105" s="4017"/>
      <c r="B105" s="4017"/>
      <c r="C105" s="4017"/>
      <c r="D105" s="4017"/>
      <c r="E105" s="4018"/>
      <c r="F105" s="4018"/>
      <c r="G105" s="4018"/>
      <c r="H105" s="4018"/>
      <c r="I105" s="4019"/>
      <c r="J105" s="4019" t="str">
        <f>I98&amp;".1"</f>
        <v>1.4.1.1.1</v>
      </c>
      <c r="K105" s="4020"/>
      <c r="L105" s="4021"/>
      <c r="M105" s="4022"/>
      <c r="N105" s="4022"/>
      <c r="O105" s="4022"/>
      <c r="P105" s="4023"/>
      <c r="Q105" s="4023"/>
      <c r="R105" s="4025"/>
      <c r="S105" s="4036"/>
      <c r="T105" s="4028"/>
      <c r="U105" s="4028"/>
      <c r="V105" s="3943"/>
      <c r="W105" s="3943"/>
      <c r="X105" s="3944" t="str">
        <f>Y104&amp;"-"&amp;AA104</f>
        <v>-</v>
      </c>
      <c r="Y105" s="3945"/>
      <c r="Z105" s="3939"/>
      <c r="AA105" s="3945"/>
      <c r="AB105" s="3939"/>
      <c r="AC105" s="3943"/>
      <c r="AD105" s="3943"/>
      <c r="AE105" s="3944" t="str">
        <f>AF104&amp;"-"&amp;AH104</f>
        <v>45658-45838</v>
      </c>
      <c r="AF105" s="3945"/>
      <c r="AG105" s="3939"/>
      <c r="AH105" s="4008"/>
      <c r="AI105" s="3939"/>
      <c r="AJ105" s="3943"/>
      <c r="AK105" s="3943"/>
      <c r="AL105" s="3944" t="str">
        <f>AM104&amp;"-"&amp;AO104</f>
        <v>45839-46022</v>
      </c>
      <c r="AM105" s="3945"/>
      <c r="AN105" s="3939"/>
      <c r="AO105" s="3945"/>
      <c r="AP105" s="3939"/>
      <c r="AQ105" s="4037"/>
      <c r="AR105" s="4034"/>
      <c r="AS105" s="3983"/>
      <c r="AT105" s="4030"/>
      <c r="AU105" s="4030" t="str">
        <f>IF(T105="","",T105)</f>
        <v/>
      </c>
      <c r="AV105" s="4030"/>
      <c r="AW105" s="4030"/>
      <c r="AX105" s="3916">
        <v>0</v>
      </c>
    </row>
    <row s="9931" customFormat="1" customHeight="1" ht="21">
      <c r="A106" s="4017"/>
      <c r="B106" s="4017"/>
      <c r="C106" s="4017"/>
      <c r="D106" s="4017"/>
      <c r="E106" s="4018"/>
      <c r="F106" s="4018"/>
      <c r="G106" s="4018"/>
      <c r="H106" s="4018"/>
      <c r="I106" s="4019"/>
      <c r="J106" s="4020" t="str">
        <f>I98&amp;".1"</f>
        <v>1.4.1.1.1</v>
      </c>
      <c r="K106" s="4017"/>
      <c r="L106" s="4021"/>
      <c r="M106" s="4022"/>
      <c r="N106" s="4022"/>
      <c r="O106" s="4022"/>
      <c r="P106" s="4023"/>
      <c r="Q106" s="4023"/>
      <c r="R106" s="4039"/>
      <c r="S106" s="4457"/>
      <c r="T106" s="4458" t="s">
        <v>611</v>
      </c>
      <c r="U106" s="4459"/>
      <c r="V106" s="4460"/>
      <c r="W106" s="4461"/>
      <c r="X106" s="4462"/>
      <c r="Y106" s="4463"/>
      <c r="Z106" s="4464"/>
      <c r="AA106" s="4465"/>
      <c r="AB106" s="4466"/>
      <c r="AC106" s="4467"/>
      <c r="AD106" s="4468"/>
      <c r="AE106" s="4469"/>
      <c r="AF106" s="4470"/>
      <c r="AG106" s="4471"/>
      <c r="AH106" s="4472"/>
      <c r="AI106" s="4473"/>
      <c r="AJ106" s="4474"/>
      <c r="AK106" s="4475"/>
      <c r="AL106" s="4476"/>
      <c r="AM106" s="4477"/>
      <c r="AN106" s="4478"/>
      <c r="AO106" s="4479"/>
      <c r="AP106" s="4480"/>
      <c r="AQ106" s="4481"/>
      <c r="AR106" s="4065" t="s">
        <v>612</v>
      </c>
      <c r="AS106" s="3983"/>
      <c r="AT106" s="4030"/>
      <c r="AU106" s="4030" t="str">
        <f>IF(T106="","",T106)</f>
        <v>Добавить значение признака дифференциации</v>
      </c>
      <c r="AV106" s="4030"/>
      <c r="AW106" s="4030"/>
      <c r="AX106" s="3916">
        <v>0</v>
      </c>
    </row>
    <row s="9957" customFormat="1" customHeight="1" ht="23.25">
      <c r="A107" s="4017"/>
      <c r="B107" s="4017"/>
      <c r="C107" s="4017"/>
      <c r="D107" s="4017"/>
      <c r="E107" s="4018"/>
      <c r="F107" s="4018"/>
      <c r="G107" s="4018"/>
      <c r="H107" s="4018"/>
      <c r="I107" s="4019"/>
      <c r="J107" s="4020" t="str">
        <f>I98&amp;".3"</f>
        <v>1.4.1.1.3</v>
      </c>
      <c r="K107" s="4017"/>
      <c r="L107" s="4021" t="s">
        <v>534</v>
      </c>
      <c r="M107" s="4022"/>
      <c r="N107" s="4022"/>
      <c r="O107" s="4022"/>
      <c r="P107" s="4023"/>
      <c r="Q107" s="4024" t="s">
        <v>105</v>
      </c>
      <c r="R107" s="4025"/>
      <c r="S107" s="4026" t="str">
        <f>$J107</f>
        <v>1.4.1.1.3</v>
      </c>
      <c r="T107" s="4027" t="s">
        <v>535</v>
      </c>
      <c r="U107" s="4028"/>
      <c r="V107" s="3932"/>
      <c r="W107" s="3933"/>
      <c r="X107" s="3933"/>
      <c r="Y107" s="3933"/>
      <c r="Z107" s="3933"/>
      <c r="AA107" s="3933"/>
      <c r="AB107" s="3934"/>
      <c r="AC107" s="3932" t="s">
        <v>623</v>
      </c>
      <c r="AD107" s="3933"/>
      <c r="AE107" s="3933"/>
      <c r="AF107" s="3933"/>
      <c r="AG107" s="3933"/>
      <c r="AH107" s="3933"/>
      <c r="AI107" s="3933"/>
      <c r="AJ107" s="3932"/>
      <c r="AK107" s="3933"/>
      <c r="AL107" s="3933"/>
      <c r="AM107" s="3933"/>
      <c r="AN107" s="3933"/>
      <c r="AO107" s="3933"/>
      <c r="AP107" s="3934"/>
      <c r="AQ107" s="3934"/>
      <c r="AR107" s="4029" t="s">
        <v>610</v>
      </c>
      <c r="AS107" s="3983"/>
      <c r="AT107" s="4030"/>
      <c r="AU107" s="4030" t="str">
        <f>IF(T107="","",T107)</f>
        <v>Группа потребителей</v>
      </c>
      <c r="AV107" s="4030"/>
      <c r="AW107" s="4030"/>
      <c r="AX107" s="3916">
        <v>0</v>
      </c>
    </row>
    <row s="9958" customFormat="1" customHeight="1" ht="23.25">
      <c r="A108" s="4017"/>
      <c r="B108" s="4017"/>
      <c r="C108" s="4017"/>
      <c r="D108" s="4017"/>
      <c r="E108" s="4018"/>
      <c r="F108" s="4018"/>
      <c r="G108" s="4018"/>
      <c r="H108" s="4018"/>
      <c r="I108" s="4019"/>
      <c r="J108" s="4019" t="str">
        <f>I98&amp;".2"</f>
        <v>1.4.1.1.2</v>
      </c>
      <c r="K108" s="4020" t="str">
        <f>J107&amp;".1"</f>
        <v>1.4.1.1.3.1</v>
      </c>
      <c r="L108" s="4021"/>
      <c r="M108" s="4022"/>
      <c r="N108" s="4022"/>
      <c r="O108" s="4022"/>
      <c r="P108" s="4023"/>
      <c r="Q108" s="4023"/>
      <c r="R108" s="4025">
        <v>1</v>
      </c>
      <c r="S108" s="4026" t="str">
        <f>$K108</f>
        <v>1.4.1.1.3.1</v>
      </c>
      <c r="T108" s="4032"/>
      <c r="U108" s="4028"/>
      <c r="V108" s="3936"/>
      <c r="W108" s="3936"/>
      <c r="X108" s="3937"/>
      <c r="Y108" s="3938"/>
      <c r="Z108" s="3939" t="s">
        <v>66</v>
      </c>
      <c r="AA108" s="3938"/>
      <c r="AB108" s="3939" t="s">
        <v>66</v>
      </c>
      <c r="AC108" s="3936">
        <v>54.69</v>
      </c>
      <c r="AD108" s="3936"/>
      <c r="AE108" s="3937"/>
      <c r="AF108" s="3938">
        <v>45658</v>
      </c>
      <c r="AG108" s="3939" t="s">
        <v>66</v>
      </c>
      <c r="AH108" s="4006">
        <v>45838</v>
      </c>
      <c r="AI108" s="3939" t="s">
        <v>66</v>
      </c>
      <c r="AJ108" s="3936">
        <v>102.47</v>
      </c>
      <c r="AK108" s="3936"/>
      <c r="AL108" s="3937"/>
      <c r="AM108" s="3938">
        <v>45839</v>
      </c>
      <c r="AN108" s="3939" t="s">
        <v>66</v>
      </c>
      <c r="AO108" s="3938">
        <v>46022</v>
      </c>
      <c r="AP108" s="3939" t="s">
        <v>66</v>
      </c>
      <c r="AQ108" s="4033"/>
      <c r="AR108" s="4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108" s="3983">
        <f>STRCHECKDATE(V109:AQ109)</f>
      </c>
      <c r="AT108" s="4030"/>
      <c r="AU108" s="4030" t="str">
        <f>IF(T108="","",T108)</f>
        <v/>
      </c>
      <c r="AV108" s="4030"/>
      <c r="AW108" s="4030"/>
      <c r="AX108" s="3916">
        <v>0</v>
      </c>
    </row>
    <row s="9959" customFormat="1" customHeight="1" ht="14.25">
      <c r="A109" s="4017"/>
      <c r="B109" s="4017"/>
      <c r="C109" s="4017"/>
      <c r="D109" s="4017"/>
      <c r="E109" s="4018"/>
      <c r="F109" s="4018"/>
      <c r="G109" s="4018"/>
      <c r="H109" s="4018"/>
      <c r="I109" s="4019"/>
      <c r="J109" s="4019" t="str">
        <f>I98&amp;".2"</f>
        <v>1.4.1.1.2</v>
      </c>
      <c r="K109" s="4020"/>
      <c r="L109" s="4021"/>
      <c r="M109" s="4022"/>
      <c r="N109" s="4022"/>
      <c r="O109" s="4022"/>
      <c r="P109" s="4023"/>
      <c r="Q109" s="4023"/>
      <c r="R109" s="4025"/>
      <c r="S109" s="4036"/>
      <c r="T109" s="4028"/>
      <c r="U109" s="4028"/>
      <c r="V109" s="3943"/>
      <c r="W109" s="3943"/>
      <c r="X109" s="3944" t="str">
        <f>Y108&amp;"-"&amp;AA108</f>
        <v>-</v>
      </c>
      <c r="Y109" s="3945"/>
      <c r="Z109" s="3939"/>
      <c r="AA109" s="3945"/>
      <c r="AB109" s="3939"/>
      <c r="AC109" s="3943"/>
      <c r="AD109" s="3943"/>
      <c r="AE109" s="3944" t="str">
        <f>AF108&amp;"-"&amp;AH108</f>
        <v>45658-45838</v>
      </c>
      <c r="AF109" s="3945"/>
      <c r="AG109" s="3939"/>
      <c r="AH109" s="4008"/>
      <c r="AI109" s="3939"/>
      <c r="AJ109" s="3943"/>
      <c r="AK109" s="3943"/>
      <c r="AL109" s="3944" t="str">
        <f>AM108&amp;"-"&amp;AO108</f>
        <v>45839-46022</v>
      </c>
      <c r="AM109" s="3945"/>
      <c r="AN109" s="3939"/>
      <c r="AO109" s="3945"/>
      <c r="AP109" s="3939"/>
      <c r="AQ109" s="4037"/>
      <c r="AR109" s="4034"/>
      <c r="AS109" s="3983"/>
      <c r="AT109" s="4030"/>
      <c r="AU109" s="4030" t="str">
        <f>IF(T109="","",T109)</f>
        <v/>
      </c>
      <c r="AV109" s="4030"/>
      <c r="AW109" s="4030"/>
      <c r="AX109" s="3916">
        <v>0</v>
      </c>
    </row>
    <row s="9960" customFormat="1" customHeight="1" ht="21">
      <c r="A110" s="4017"/>
      <c r="B110" s="4017"/>
      <c r="C110" s="4017"/>
      <c r="D110" s="4017"/>
      <c r="E110" s="4018"/>
      <c r="F110" s="4018"/>
      <c r="G110" s="4018"/>
      <c r="H110" s="4018"/>
      <c r="I110" s="4019"/>
      <c r="J110" s="4020" t="str">
        <f>I98&amp;".2"</f>
        <v>1.4.1.1.2</v>
      </c>
      <c r="K110" s="4017"/>
      <c r="L110" s="4021"/>
      <c r="M110" s="4022"/>
      <c r="N110" s="4022"/>
      <c r="O110" s="4022"/>
      <c r="P110" s="4023"/>
      <c r="Q110" s="4023"/>
      <c r="R110" s="4039"/>
      <c r="S110" s="4486"/>
      <c r="T110" s="4487" t="s">
        <v>611</v>
      </c>
      <c r="U110" s="4488"/>
      <c r="V110" s="4489"/>
      <c r="W110" s="4490"/>
      <c r="X110" s="4491"/>
      <c r="Y110" s="4492"/>
      <c r="Z110" s="4493"/>
      <c r="AA110" s="4494"/>
      <c r="AB110" s="4495"/>
      <c r="AC110" s="4496"/>
      <c r="AD110" s="4497"/>
      <c r="AE110" s="4498"/>
      <c r="AF110" s="4499"/>
      <c r="AG110" s="4500"/>
      <c r="AH110" s="4501"/>
      <c r="AI110" s="4502"/>
      <c r="AJ110" s="4503"/>
      <c r="AK110" s="4504"/>
      <c r="AL110" s="4505"/>
      <c r="AM110" s="4506"/>
      <c r="AN110" s="4507"/>
      <c r="AO110" s="4508"/>
      <c r="AP110" s="4509"/>
      <c r="AQ110" s="4510"/>
      <c r="AR110" s="4065" t="s">
        <v>612</v>
      </c>
      <c r="AS110" s="3983"/>
      <c r="AT110" s="4030"/>
      <c r="AU110" s="4030" t="str">
        <f>IF(T110="","",T110)</f>
        <v>Добавить значение признака дифференциации</v>
      </c>
      <c r="AV110" s="4030"/>
      <c r="AW110" s="4030"/>
      <c r="AX110" s="3916">
        <v>0</v>
      </c>
    </row>
    <row s="9986" customFormat="1" customHeight="1" ht="21">
      <c r="A111" s="4017"/>
      <c r="B111" s="4017"/>
      <c r="C111" s="4017"/>
      <c r="D111" s="4017"/>
      <c r="E111" s="4018"/>
      <c r="F111" s="4018" t="s">
        <v>90</v>
      </c>
      <c r="G111" s="4018"/>
      <c r="H111" s="4018"/>
      <c r="I111" s="4020"/>
      <c r="J111" s="4017"/>
      <c r="K111" s="4017"/>
      <c r="L111" s="4021"/>
      <c r="M111" s="4022"/>
      <c r="N111" s="4022"/>
      <c r="O111" s="4022"/>
      <c r="P111" s="4023"/>
      <c r="Q111" s="4023"/>
      <c r="R111" s="4039"/>
      <c r="S111" s="4512"/>
      <c r="T111" s="4513" t="s">
        <v>540</v>
      </c>
      <c r="U111" s="4514"/>
      <c r="V111" s="4515"/>
      <c r="W111" s="4516"/>
      <c r="X111" s="4517"/>
      <c r="Y111" s="4518"/>
      <c r="Z111" s="4519"/>
      <c r="AA111" s="4520"/>
      <c r="AB111" s="4521"/>
      <c r="AC111" s="4522"/>
      <c r="AD111" s="4523"/>
      <c r="AE111" s="4524"/>
      <c r="AF111" s="4525"/>
      <c r="AG111" s="4526"/>
      <c r="AH111" s="4527"/>
      <c r="AI111" s="4528"/>
      <c r="AJ111" s="4529"/>
      <c r="AK111" s="4530"/>
      <c r="AL111" s="4531"/>
      <c r="AM111" s="4532"/>
      <c r="AN111" s="4533"/>
      <c r="AO111" s="4534"/>
      <c r="AP111" s="4535"/>
      <c r="AQ111" s="4536"/>
      <c r="AR111" s="4537"/>
      <c r="AS111" s="3983"/>
      <c r="AT111" s="4030"/>
      <c r="AU111" s="4030" t="str">
        <f>IF(T111="","",T111)</f>
        <v>Добавить группу потребителей</v>
      </c>
      <c r="AV111" s="4030"/>
      <c r="AW111" s="4030"/>
      <c r="AX111" s="3916">
        <v>0</v>
      </c>
    </row>
    <row s="10013" customFormat="1" customHeight="1" ht="14.25">
      <c r="A112" s="4017"/>
      <c r="B112" s="4017"/>
      <c r="C112" s="4017"/>
      <c r="D112" s="4017"/>
      <c r="E112" s="4018"/>
      <c r="F112" s="4018" t="s">
        <v>90</v>
      </c>
      <c r="G112" s="4018"/>
      <c r="H112" s="4110"/>
      <c r="I112" s="4017"/>
      <c r="J112" s="4017"/>
      <c r="K112" s="4017"/>
      <c r="L112" s="4021"/>
      <c r="M112" s="4111"/>
      <c r="N112" s="4111"/>
      <c r="O112" s="3973"/>
      <c r="P112" s="4239"/>
      <c r="Q112" s="4240"/>
      <c r="R112" s="4241"/>
      <c r="S112" s="4539"/>
      <c r="T112" s="4540" t="s">
        <v>613</v>
      </c>
      <c r="U112" s="4541"/>
      <c r="V112" s="4542"/>
      <c r="W112" s="4543"/>
      <c r="X112" s="4544"/>
      <c r="Y112" s="4545"/>
      <c r="Z112" s="4546"/>
      <c r="AA112" s="4547"/>
      <c r="AB112" s="4548"/>
      <c r="AC112" s="4549"/>
      <c r="AD112" s="4550"/>
      <c r="AE112" s="4551"/>
      <c r="AF112" s="4552"/>
      <c r="AG112" s="4553"/>
      <c r="AH112" s="4554"/>
      <c r="AI112" s="4555"/>
      <c r="AJ112" s="4556"/>
      <c r="AK112" s="4557"/>
      <c r="AL112" s="4558"/>
      <c r="AM112" s="4559"/>
      <c r="AN112" s="4560"/>
      <c r="AO112" s="4561"/>
      <c r="AP112" s="4562"/>
      <c r="AQ112" s="4563"/>
      <c r="AR112" s="4564"/>
      <c r="AS112" s="3983"/>
      <c r="AT112" s="4030"/>
      <c r="AU112" s="4030" t="str">
        <f>IF(T112="","",T112)</f>
        <v>Добавить наименование признака дифференциации</v>
      </c>
      <c r="AV112" s="4030"/>
      <c r="AW112" s="4030"/>
      <c r="AX112" s="3916">
        <v>0</v>
      </c>
    </row>
    <row s="10040" customFormat="1" customHeight="1" ht="14.25">
      <c r="A113" s="4269"/>
      <c r="B113" s="4269"/>
      <c r="C113" s="4269"/>
      <c r="D113" s="4269"/>
      <c r="E113" s="4018"/>
      <c r="F113" s="4110" t="s">
        <v>90</v>
      </c>
      <c r="G113" s="4269"/>
      <c r="H113" s="4269"/>
      <c r="I113" s="4269"/>
      <c r="J113" s="4269"/>
      <c r="K113" s="4269"/>
      <c r="L113" s="4270"/>
      <c r="M113" s="4271"/>
      <c r="N113" s="4271"/>
      <c r="O113" s="3983"/>
      <c r="P113" s="4272"/>
      <c r="Q113" s="4273"/>
      <c r="R113" s="4272"/>
      <c r="S113" s="4274"/>
      <c r="T113" s="4275" t="s">
        <v>298</v>
      </c>
      <c r="U113" s="3971"/>
      <c r="V113" s="3971"/>
      <c r="W113" s="3971"/>
      <c r="X113" s="3971"/>
      <c r="Y113" s="3971"/>
      <c r="Z113" s="3971"/>
      <c r="AA113" s="3971"/>
      <c r="AB113" s="3971"/>
      <c r="AC113" s="3971"/>
      <c r="AD113" s="3971"/>
      <c r="AE113" s="3971"/>
      <c r="AF113" s="3971"/>
      <c r="AG113" s="3971"/>
      <c r="AH113" s="3971"/>
      <c r="AI113" s="3971"/>
      <c r="AJ113" s="3971"/>
      <c r="AK113" s="3971"/>
      <c r="AL113" s="3971"/>
      <c r="AM113" s="3971"/>
      <c r="AN113" s="3971"/>
      <c r="AO113" s="3971"/>
      <c r="AP113" s="3971"/>
      <c r="AQ113" s="3971"/>
      <c r="AR113" s="3971"/>
      <c r="AS113" s="3983"/>
      <c r="AT113" s="4030"/>
      <c r="AU113" s="4030" t="str">
        <f>IF(T113="","",T113)</f>
        <v>Добавить централизованную систему для дифференциации</v>
      </c>
      <c r="AV113" s="4030"/>
      <c r="AW113" s="4030"/>
      <c r="AX113" s="3983">
        <v>0</v>
      </c>
    </row>
    <row s="10041" customFormat="1" customHeight="1" ht="23.25">
      <c r="A114" s="4017"/>
      <c r="B114" s="4017" t="s">
        <v>308</v>
      </c>
      <c r="C114" s="4017"/>
      <c r="D114" s="4017"/>
      <c r="E114" s="4018"/>
      <c r="F114" s="4110" t="s">
        <v>118</v>
      </c>
      <c r="G114" s="4017"/>
      <c r="H114" s="4017"/>
      <c r="I114" s="4017"/>
      <c r="J114" s="4017"/>
      <c r="K114" s="4017"/>
      <c r="L114" s="4021"/>
      <c r="M114" s="4111"/>
      <c r="N114" s="4111"/>
      <c r="O114" s="4111"/>
      <c r="P114" s="4112"/>
      <c r="Q114" s="4113"/>
      <c r="R114" s="4114"/>
      <c r="S114" s="4026" t="str">
        <f>INDEX(PT_DIFFERENTIATION_NUM_TER,MATCH(B114,PT_DIFFERENTIATION_TER_ID,0))</f>
        <v>1.5</v>
      </c>
      <c r="T114" s="4115" t="s">
        <v>525</v>
      </c>
      <c r="U114" s="4028"/>
      <c r="V114" s="3918"/>
      <c r="W114" s="3919"/>
      <c r="X114" s="3919"/>
      <c r="Y114" s="3919"/>
      <c r="Z114" s="3919"/>
      <c r="AA114" s="3919"/>
      <c r="AB114" s="3920"/>
      <c r="AC114" s="3918" t="str">
        <f>INDEX(PT_DIFFERENTIATION_TER,MATCH(B114,PT_DIFFERENTIATION_TER_ID,0))</f>
        <v>Территория 5</v>
      </c>
      <c r="AD114" s="3919"/>
      <c r="AE114" s="3919"/>
      <c r="AF114" s="3919"/>
      <c r="AG114" s="3919"/>
      <c r="AH114" s="3919"/>
      <c r="AI114" s="3919"/>
      <c r="AJ114" s="3918"/>
      <c r="AK114" s="3919"/>
      <c r="AL114" s="3919"/>
      <c r="AM114" s="3919"/>
      <c r="AN114" s="3919"/>
      <c r="AO114" s="3919"/>
      <c r="AP114" s="3920"/>
      <c r="AQ114" s="3920"/>
      <c r="AR114" s="4065" t="s">
        <v>526</v>
      </c>
      <c r="AS114" s="3983"/>
      <c r="AT114" s="4030"/>
      <c r="AU114" s="4030" t="str">
        <f>IF(T114="","",T114)</f>
        <v>Территория действия тарифа</v>
      </c>
      <c r="AV114" s="4030"/>
      <c r="AW114" s="4030"/>
      <c r="AX114" s="3916">
        <v>0</v>
      </c>
    </row>
    <row s="10042" customFormat="1" customHeight="1" ht="23.25">
      <c r="A115" s="4017"/>
      <c r="B115" s="4017"/>
      <c r="C115" s="4017" t="s">
        <v>309</v>
      </c>
      <c r="D115" s="4017"/>
      <c r="E115" s="4018"/>
      <c r="F115" s="4018" t="s">
        <v>91</v>
      </c>
      <c r="G115" s="4110">
        <v>1</v>
      </c>
      <c r="H115" s="4017"/>
      <c r="I115" s="4017"/>
      <c r="J115" s="4017"/>
      <c r="K115" s="4017"/>
      <c r="L115" s="4021"/>
      <c r="M115" s="4111"/>
      <c r="N115" s="4111"/>
      <c r="O115" s="4111"/>
      <c r="P115" s="4117"/>
      <c r="Q115" s="4113"/>
      <c r="R115" s="4114"/>
      <c r="S115" s="4026" t="str">
        <f>INDEX(PT_DIFFERENTIATION_NUM_CS,MATCH(C115,PT_DIFFERENTIATION_CS_ID,0))</f>
        <v>1.5.1</v>
      </c>
      <c r="T115" s="4118" t="s">
        <v>606</v>
      </c>
      <c r="U115" s="4028"/>
      <c r="V115" s="3918"/>
      <c r="W115" s="3919"/>
      <c r="X115" s="3919"/>
      <c r="Y115" s="3919"/>
      <c r="Z115" s="3919"/>
      <c r="AA115" s="3919"/>
      <c r="AB115" s="3920"/>
      <c r="AC115" s="3918" t="str">
        <f>INDEX(PT_DIFFERENTIATION_CS,MATCH(C115,PT_DIFFERENTIATION_CS_ID,0))</f>
        <v>без дифференциации</v>
      </c>
      <c r="AD115" s="3919"/>
      <c r="AE115" s="3919"/>
      <c r="AF115" s="3919"/>
      <c r="AG115" s="3919"/>
      <c r="AH115" s="3919"/>
      <c r="AI115" s="3919"/>
      <c r="AJ115" s="3918"/>
      <c r="AK115" s="3919"/>
      <c r="AL115" s="3919"/>
      <c r="AM115" s="3919"/>
      <c r="AN115" s="3919"/>
      <c r="AO115" s="3919"/>
      <c r="AP115" s="3920"/>
      <c r="AQ115" s="3920"/>
      <c r="AR115" s="4065" t="s">
        <v>607</v>
      </c>
      <c r="AS115" s="3983"/>
      <c r="AT115" s="4030"/>
      <c r="AU115" s="4030" t="str">
        <f>IF(T115="","",T115)</f>
        <v>Наименование централизованной системы холодного водоснабжения</v>
      </c>
      <c r="AV115" s="4030"/>
      <c r="AW115" s="4030"/>
      <c r="AX115" s="3916">
        <v>0</v>
      </c>
    </row>
    <row s="10043" customFormat="1" customHeight="1" ht="23.25">
      <c r="A116" s="4017"/>
      <c r="B116" s="4017"/>
      <c r="C116" s="4017"/>
      <c r="D116" s="4017"/>
      <c r="E116" s="4018"/>
      <c r="F116" s="4018" t="s">
        <v>91</v>
      </c>
      <c r="G116" s="4018"/>
      <c r="H116" s="4018"/>
      <c r="I116" s="4020" t="str">
        <f>S115&amp;".1"</f>
        <v>1.5.1.1</v>
      </c>
      <c r="J116" s="4017"/>
      <c r="K116" s="4017"/>
      <c r="L116" s="4021"/>
      <c r="M116" s="4022"/>
      <c r="N116" s="4022"/>
      <c r="O116" s="4022"/>
      <c r="P116" s="4023">
        <v>1</v>
      </c>
      <c r="Q116" s="4023"/>
      <c r="R116" s="4039"/>
      <c r="S116" s="4026" t="str">
        <f>$I116</f>
        <v>1.5.1.1</v>
      </c>
      <c r="T116" s="4120" t="s">
        <v>608</v>
      </c>
      <c r="U116" s="4028"/>
      <c r="V116" s="3928"/>
      <c r="W116" s="3929"/>
      <c r="X116" s="3929"/>
      <c r="Y116" s="3929"/>
      <c r="Z116" s="3929"/>
      <c r="AA116" s="3929"/>
      <c r="AB116" s="3930"/>
      <c r="AC116" s="4121"/>
      <c r="AD116" s="4122"/>
      <c r="AE116" s="4122"/>
      <c r="AF116" s="4122"/>
      <c r="AG116" s="4122"/>
      <c r="AH116" s="4122"/>
      <c r="AI116" s="4122"/>
      <c r="AJ116" s="3928"/>
      <c r="AK116" s="3929"/>
      <c r="AL116" s="3929"/>
      <c r="AM116" s="3929"/>
      <c r="AN116" s="3929"/>
      <c r="AO116" s="3929"/>
      <c r="AP116" s="3930"/>
      <c r="AQ116" s="4123"/>
      <c r="AR116" s="4065" t="s">
        <v>609</v>
      </c>
      <c r="AS116" s="3983"/>
      <c r="AT116" s="4030"/>
      <c r="AU116" s="4030" t="str">
        <f>IF(T116="","",T116)</f>
        <v>Наименование признака дифференциации</v>
      </c>
      <c r="AV116" s="4030"/>
      <c r="AW116" s="4030"/>
      <c r="AX116" s="3916">
        <v>0</v>
      </c>
    </row>
    <row s="10044" customFormat="1" customHeight="1" ht="23.25">
      <c r="A117" s="4017"/>
      <c r="B117" s="4017"/>
      <c r="C117" s="4017"/>
      <c r="D117" s="4017"/>
      <c r="E117" s="4018"/>
      <c r="F117" s="4018" t="s">
        <v>91</v>
      </c>
      <c r="G117" s="4018"/>
      <c r="H117" s="4018"/>
      <c r="I117" s="4019"/>
      <c r="J117" s="4020" t="str">
        <f>I116&amp;".1"</f>
        <v>1.5.1.1.1</v>
      </c>
      <c r="K117" s="4017"/>
      <c r="L117" s="4021" t="s">
        <v>534</v>
      </c>
      <c r="M117" s="4022"/>
      <c r="N117" s="4022"/>
      <c r="O117" s="4022"/>
      <c r="P117" s="4023"/>
      <c r="Q117" s="4023">
        <v>1</v>
      </c>
      <c r="R117" s="4025"/>
      <c r="S117" s="4026" t="str">
        <f>$J117</f>
        <v>1.5.1.1.1</v>
      </c>
      <c r="T117" s="4027" t="s">
        <v>535</v>
      </c>
      <c r="U117" s="4028"/>
      <c r="V117" s="3932"/>
      <c r="W117" s="3933"/>
      <c r="X117" s="3933"/>
      <c r="Y117" s="3933"/>
      <c r="Z117" s="3933"/>
      <c r="AA117" s="3933"/>
      <c r="AB117" s="3934"/>
      <c r="AC117" s="3932" t="s">
        <v>621</v>
      </c>
      <c r="AD117" s="3933"/>
      <c r="AE117" s="3933"/>
      <c r="AF117" s="3933"/>
      <c r="AG117" s="3933"/>
      <c r="AH117" s="3933"/>
      <c r="AI117" s="3933"/>
      <c r="AJ117" s="3932"/>
      <c r="AK117" s="3933"/>
      <c r="AL117" s="3933"/>
      <c r="AM117" s="3933"/>
      <c r="AN117" s="3933"/>
      <c r="AO117" s="3933"/>
      <c r="AP117" s="3934"/>
      <c r="AQ117" s="3934"/>
      <c r="AR117" s="4029" t="s">
        <v>610</v>
      </c>
      <c r="AS117" s="3983"/>
      <c r="AT117" s="4030"/>
      <c r="AU117" s="4030" t="str">
        <f>IF(T117="","",T117)</f>
        <v>Группа потребителей</v>
      </c>
      <c r="AV117" s="4030"/>
      <c r="AW117" s="4030"/>
      <c r="AX117" s="3916">
        <v>0</v>
      </c>
    </row>
    <row s="10045" customFormat="1" customHeight="1" ht="23.25">
      <c r="A118" s="4017"/>
      <c r="B118" s="4017"/>
      <c r="C118" s="4017"/>
      <c r="D118" s="4017"/>
      <c r="E118" s="4018"/>
      <c r="F118" s="4018" t="s">
        <v>91</v>
      </c>
      <c r="G118" s="4018"/>
      <c r="H118" s="4018"/>
      <c r="I118" s="4019"/>
      <c r="J118" s="4019"/>
      <c r="K118" s="4020" t="str">
        <f>J117&amp;".1"</f>
        <v>1.5.1.1.1.1</v>
      </c>
      <c r="L118" s="4021"/>
      <c r="M118" s="4022"/>
      <c r="N118" s="4022"/>
      <c r="O118" s="4022"/>
      <c r="P118" s="4023"/>
      <c r="Q118" s="4023"/>
      <c r="R118" s="4025">
        <v>1</v>
      </c>
      <c r="S118" s="4026" t="str">
        <f>$K118</f>
        <v>1.5.1.1.1.1</v>
      </c>
      <c r="T118" s="4032"/>
      <c r="U118" s="4028"/>
      <c r="V118" s="3936"/>
      <c r="W118" s="3936"/>
      <c r="X118" s="3937"/>
      <c r="Y118" s="3938"/>
      <c r="Z118" s="3939" t="s">
        <v>66</v>
      </c>
      <c r="AA118" s="3938"/>
      <c r="AB118" s="3939" t="s">
        <v>66</v>
      </c>
      <c r="AC118" s="3936">
        <v>57.42</v>
      </c>
      <c r="AD118" s="3936"/>
      <c r="AE118" s="3937"/>
      <c r="AF118" s="3938">
        <v>45658</v>
      </c>
      <c r="AG118" s="3939" t="s">
        <v>66</v>
      </c>
      <c r="AH118" s="4006">
        <v>45838</v>
      </c>
      <c r="AI118" s="3939" t="s">
        <v>66</v>
      </c>
      <c r="AJ118" s="3936">
        <v>62.02</v>
      </c>
      <c r="AK118" s="3936"/>
      <c r="AL118" s="3937"/>
      <c r="AM118" s="3938">
        <v>45839</v>
      </c>
      <c r="AN118" s="3939" t="s">
        <v>66</v>
      </c>
      <c r="AO118" s="3938">
        <v>46022</v>
      </c>
      <c r="AP118" s="3939" t="s">
        <v>66</v>
      </c>
      <c r="AQ118" s="4033"/>
      <c r="AR118" s="4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118" s="3983">
        <f>STRCHECKDATE(V119:AQ119)</f>
      </c>
      <c r="AT118" s="4030"/>
      <c r="AU118" s="4030" t="str">
        <f>IF(T118="","",T118)</f>
        <v/>
      </c>
      <c r="AV118" s="4030"/>
      <c r="AW118" s="4030"/>
      <c r="AX118" s="3916">
        <v>0</v>
      </c>
    </row>
    <row s="10046" customFormat="1" customHeight="1" ht="14.25">
      <c r="A119" s="4017"/>
      <c r="B119" s="4017"/>
      <c r="C119" s="4017"/>
      <c r="D119" s="4017"/>
      <c r="E119" s="4018"/>
      <c r="F119" s="4018" t="s">
        <v>91</v>
      </c>
      <c r="G119" s="4018"/>
      <c r="H119" s="4018"/>
      <c r="I119" s="4019"/>
      <c r="J119" s="4019"/>
      <c r="K119" s="4020"/>
      <c r="L119" s="4021"/>
      <c r="M119" s="4022"/>
      <c r="N119" s="4022"/>
      <c r="O119" s="4022"/>
      <c r="P119" s="4023"/>
      <c r="Q119" s="4023"/>
      <c r="R119" s="4025"/>
      <c r="S119" s="4036"/>
      <c r="T119" s="4028"/>
      <c r="U119" s="4028"/>
      <c r="V119" s="3943"/>
      <c r="W119" s="3943"/>
      <c r="X119" s="3944" t="str">
        <f>Y118&amp;"-"&amp;AA118</f>
        <v>-</v>
      </c>
      <c r="Y119" s="3945"/>
      <c r="Z119" s="3939"/>
      <c r="AA119" s="3945"/>
      <c r="AB119" s="3939"/>
      <c r="AC119" s="3943"/>
      <c r="AD119" s="3943"/>
      <c r="AE119" s="3944" t="str">
        <f>AF118&amp;"-"&amp;AH118</f>
        <v>45658-45838</v>
      </c>
      <c r="AF119" s="3945"/>
      <c r="AG119" s="3939"/>
      <c r="AH119" s="4008"/>
      <c r="AI119" s="3939"/>
      <c r="AJ119" s="3943"/>
      <c r="AK119" s="3943"/>
      <c r="AL119" s="3944" t="str">
        <f>AM118&amp;"-"&amp;AO118</f>
        <v>45839-46022</v>
      </c>
      <c r="AM119" s="3945"/>
      <c r="AN119" s="3939"/>
      <c r="AO119" s="3945"/>
      <c r="AP119" s="3939"/>
      <c r="AQ119" s="4037"/>
      <c r="AR119" s="4034"/>
      <c r="AS119" s="3983"/>
      <c r="AT119" s="4030"/>
      <c r="AU119" s="4030" t="str">
        <f>IF(T119="","",T119)</f>
        <v/>
      </c>
      <c r="AV119" s="4030"/>
      <c r="AW119" s="4030"/>
      <c r="AX119" s="3916">
        <v>0</v>
      </c>
    </row>
    <row s="10047" customFormat="1" customHeight="1" ht="21">
      <c r="A120" s="4017"/>
      <c r="B120" s="4017"/>
      <c r="C120" s="4017"/>
      <c r="D120" s="4017"/>
      <c r="E120" s="4018"/>
      <c r="F120" s="4018" t="s">
        <v>91</v>
      </c>
      <c r="G120" s="4018"/>
      <c r="H120" s="4018"/>
      <c r="I120" s="4019"/>
      <c r="J120" s="4020"/>
      <c r="K120" s="4017"/>
      <c r="L120" s="4021"/>
      <c r="M120" s="4022"/>
      <c r="N120" s="4022"/>
      <c r="O120" s="4022"/>
      <c r="P120" s="4023"/>
      <c r="Q120" s="4023"/>
      <c r="R120" s="4039"/>
      <c r="S120" s="4573"/>
      <c r="T120" s="4574" t="s">
        <v>611</v>
      </c>
      <c r="U120" s="4575"/>
      <c r="V120" s="4576"/>
      <c r="W120" s="4577"/>
      <c r="X120" s="4578"/>
      <c r="Y120" s="4579"/>
      <c r="Z120" s="4580"/>
      <c r="AA120" s="4581"/>
      <c r="AB120" s="4582"/>
      <c r="AC120" s="4583"/>
      <c r="AD120" s="4584"/>
      <c r="AE120" s="4585"/>
      <c r="AF120" s="4586"/>
      <c r="AG120" s="4587"/>
      <c r="AH120" s="4588"/>
      <c r="AI120" s="4589"/>
      <c r="AJ120" s="4590"/>
      <c r="AK120" s="4591"/>
      <c r="AL120" s="4592"/>
      <c r="AM120" s="4593"/>
      <c r="AN120" s="4594"/>
      <c r="AO120" s="4595"/>
      <c r="AP120" s="4596"/>
      <c r="AQ120" s="4597"/>
      <c r="AR120" s="4065" t="s">
        <v>612</v>
      </c>
      <c r="AS120" s="3983"/>
      <c r="AT120" s="4030"/>
      <c r="AU120" s="4030" t="str">
        <f>IF(T120="","",T120)</f>
        <v>Добавить значение признака дифференциации</v>
      </c>
      <c r="AV120" s="4030"/>
      <c r="AW120" s="4030"/>
      <c r="AX120" s="3916">
        <v>0</v>
      </c>
    </row>
    <row s="10073" customFormat="1" customHeight="1" ht="23.25">
      <c r="A121" s="4017"/>
      <c r="B121" s="4017"/>
      <c r="C121" s="4017"/>
      <c r="D121" s="4017"/>
      <c r="E121" s="4018"/>
      <c r="F121" s="4018"/>
      <c r="G121" s="4018"/>
      <c r="H121" s="4018"/>
      <c r="I121" s="4019"/>
      <c r="J121" s="4020" t="str">
        <f>I116&amp;".2"</f>
        <v>1.5.1.1.2</v>
      </c>
      <c r="K121" s="4017"/>
      <c r="L121" s="4021" t="s">
        <v>534</v>
      </c>
      <c r="M121" s="4022"/>
      <c r="N121" s="4022"/>
      <c r="O121" s="4022"/>
      <c r="P121" s="4023"/>
      <c r="Q121" s="4024" t="s">
        <v>105</v>
      </c>
      <c r="R121" s="4025"/>
      <c r="S121" s="4026" t="str">
        <f>$J121</f>
        <v>1.5.1.1.2</v>
      </c>
      <c r="T121" s="4027" t="s">
        <v>535</v>
      </c>
      <c r="U121" s="4028"/>
      <c r="V121" s="3932"/>
      <c r="W121" s="3933"/>
      <c r="X121" s="3933"/>
      <c r="Y121" s="3933"/>
      <c r="Z121" s="3933"/>
      <c r="AA121" s="3933"/>
      <c r="AB121" s="3934"/>
      <c r="AC121" s="3932" t="s">
        <v>622</v>
      </c>
      <c r="AD121" s="3933"/>
      <c r="AE121" s="3933"/>
      <c r="AF121" s="3933"/>
      <c r="AG121" s="3933"/>
      <c r="AH121" s="3933"/>
      <c r="AI121" s="3933"/>
      <c r="AJ121" s="3932"/>
      <c r="AK121" s="3933"/>
      <c r="AL121" s="3933"/>
      <c r="AM121" s="3933"/>
      <c r="AN121" s="3933"/>
      <c r="AO121" s="3933"/>
      <c r="AP121" s="3934"/>
      <c r="AQ121" s="3934"/>
      <c r="AR121" s="4029" t="s">
        <v>610</v>
      </c>
      <c r="AS121" s="3983"/>
      <c r="AT121" s="4030"/>
      <c r="AU121" s="4030" t="str">
        <f>IF(T121="","",T121)</f>
        <v>Группа потребителей</v>
      </c>
      <c r="AV121" s="4030"/>
      <c r="AW121" s="4030"/>
      <c r="AX121" s="3916">
        <v>0</v>
      </c>
    </row>
    <row s="10074" customFormat="1" customHeight="1" ht="23.25">
      <c r="A122" s="4017"/>
      <c r="B122" s="4017"/>
      <c r="C122" s="4017"/>
      <c r="D122" s="4017"/>
      <c r="E122" s="4018"/>
      <c r="F122" s="4018"/>
      <c r="G122" s="4018"/>
      <c r="H122" s="4018"/>
      <c r="I122" s="4019"/>
      <c r="J122" s="4019" t="str">
        <f>I116&amp;".1"</f>
        <v>1.5.1.1.1</v>
      </c>
      <c r="K122" s="4020" t="str">
        <f>J121&amp;".1"</f>
        <v>1.5.1.1.2.1</v>
      </c>
      <c r="L122" s="4021"/>
      <c r="M122" s="4022"/>
      <c r="N122" s="4022"/>
      <c r="O122" s="4022"/>
      <c r="P122" s="4023"/>
      <c r="Q122" s="4023"/>
      <c r="R122" s="4025">
        <v>1</v>
      </c>
      <c r="S122" s="4026" t="str">
        <f>$K122</f>
        <v>1.5.1.1.2.1</v>
      </c>
      <c r="T122" s="4032"/>
      <c r="U122" s="4028"/>
      <c r="V122" s="3936"/>
      <c r="W122" s="3936"/>
      <c r="X122" s="3937"/>
      <c r="Y122" s="3938"/>
      <c r="Z122" s="3939" t="s">
        <v>66</v>
      </c>
      <c r="AA122" s="3938"/>
      <c r="AB122" s="3939" t="s">
        <v>66</v>
      </c>
      <c r="AC122" s="3936">
        <v>54.69</v>
      </c>
      <c r="AD122" s="3936"/>
      <c r="AE122" s="3937"/>
      <c r="AF122" s="3938">
        <v>45658</v>
      </c>
      <c r="AG122" s="3939" t="s">
        <v>66</v>
      </c>
      <c r="AH122" s="4006">
        <v>45838</v>
      </c>
      <c r="AI122" s="3939" t="s">
        <v>66</v>
      </c>
      <c r="AJ122" s="3936">
        <v>102.47</v>
      </c>
      <c r="AK122" s="3936"/>
      <c r="AL122" s="3937"/>
      <c r="AM122" s="3938">
        <v>45839</v>
      </c>
      <c r="AN122" s="3939" t="s">
        <v>66</v>
      </c>
      <c r="AO122" s="3938">
        <v>46022</v>
      </c>
      <c r="AP122" s="3939" t="s">
        <v>66</v>
      </c>
      <c r="AQ122" s="4033"/>
      <c r="AR122" s="4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122" s="3983">
        <f>STRCHECKDATE(V123:AQ123)</f>
      </c>
      <c r="AT122" s="4030"/>
      <c r="AU122" s="4030" t="str">
        <f>IF(T122="","",T122)</f>
        <v/>
      </c>
      <c r="AV122" s="4030"/>
      <c r="AW122" s="4030"/>
      <c r="AX122" s="3916">
        <v>0</v>
      </c>
    </row>
    <row s="10075" customFormat="1" customHeight="1" ht="14.25">
      <c r="A123" s="4017"/>
      <c r="B123" s="4017"/>
      <c r="C123" s="4017"/>
      <c r="D123" s="4017"/>
      <c r="E123" s="4018"/>
      <c r="F123" s="4018"/>
      <c r="G123" s="4018"/>
      <c r="H123" s="4018"/>
      <c r="I123" s="4019"/>
      <c r="J123" s="4019" t="str">
        <f>I116&amp;".1"</f>
        <v>1.5.1.1.1</v>
      </c>
      <c r="K123" s="4020"/>
      <c r="L123" s="4021"/>
      <c r="M123" s="4022"/>
      <c r="N123" s="4022"/>
      <c r="O123" s="4022"/>
      <c r="P123" s="4023"/>
      <c r="Q123" s="4023"/>
      <c r="R123" s="4025"/>
      <c r="S123" s="4036"/>
      <c r="T123" s="4028"/>
      <c r="U123" s="4028"/>
      <c r="V123" s="3943"/>
      <c r="W123" s="3943"/>
      <c r="X123" s="3944" t="str">
        <f>Y122&amp;"-"&amp;AA122</f>
        <v>-</v>
      </c>
      <c r="Y123" s="3945"/>
      <c r="Z123" s="3939"/>
      <c r="AA123" s="3945"/>
      <c r="AB123" s="3939"/>
      <c r="AC123" s="3943"/>
      <c r="AD123" s="3943"/>
      <c r="AE123" s="3944" t="str">
        <f>AF122&amp;"-"&amp;AH122</f>
        <v>45658-45838</v>
      </c>
      <c r="AF123" s="3945"/>
      <c r="AG123" s="3939"/>
      <c r="AH123" s="4008"/>
      <c r="AI123" s="3939"/>
      <c r="AJ123" s="3943"/>
      <c r="AK123" s="3943"/>
      <c r="AL123" s="3944" t="str">
        <f>AM122&amp;"-"&amp;AO122</f>
        <v>45839-46022</v>
      </c>
      <c r="AM123" s="3945"/>
      <c r="AN123" s="3939"/>
      <c r="AO123" s="3945"/>
      <c r="AP123" s="3939"/>
      <c r="AQ123" s="4037"/>
      <c r="AR123" s="4034"/>
      <c r="AS123" s="3983"/>
      <c r="AT123" s="4030"/>
      <c r="AU123" s="4030" t="str">
        <f>IF(T123="","",T123)</f>
        <v/>
      </c>
      <c r="AV123" s="4030"/>
      <c r="AW123" s="4030"/>
      <c r="AX123" s="3916">
        <v>0</v>
      </c>
    </row>
    <row s="10076" customFormat="1" customHeight="1" ht="21">
      <c r="A124" s="4017"/>
      <c r="B124" s="4017"/>
      <c r="C124" s="4017"/>
      <c r="D124" s="4017"/>
      <c r="E124" s="4018"/>
      <c r="F124" s="4018"/>
      <c r="G124" s="4018"/>
      <c r="H124" s="4018"/>
      <c r="I124" s="4019"/>
      <c r="J124" s="4020" t="str">
        <f>I116&amp;".1"</f>
        <v>1.5.1.1.1</v>
      </c>
      <c r="K124" s="4017"/>
      <c r="L124" s="4021"/>
      <c r="M124" s="4022"/>
      <c r="N124" s="4022"/>
      <c r="O124" s="4022"/>
      <c r="P124" s="4023"/>
      <c r="Q124" s="4023"/>
      <c r="R124" s="4039"/>
      <c r="S124" s="4602"/>
      <c r="T124" s="4603" t="s">
        <v>611</v>
      </c>
      <c r="U124" s="4604"/>
      <c r="V124" s="4605"/>
      <c r="W124" s="4606"/>
      <c r="X124" s="4607"/>
      <c r="Y124" s="4608"/>
      <c r="Z124" s="4609"/>
      <c r="AA124" s="4610"/>
      <c r="AB124" s="4611"/>
      <c r="AC124" s="4612"/>
      <c r="AD124" s="4613"/>
      <c r="AE124" s="4614"/>
      <c r="AF124" s="4615"/>
      <c r="AG124" s="4616"/>
      <c r="AH124" s="4617"/>
      <c r="AI124" s="4618"/>
      <c r="AJ124" s="4619"/>
      <c r="AK124" s="4620"/>
      <c r="AL124" s="4621"/>
      <c r="AM124" s="4622"/>
      <c r="AN124" s="4623"/>
      <c r="AO124" s="4624"/>
      <c r="AP124" s="4625"/>
      <c r="AQ124" s="4626"/>
      <c r="AR124" s="4065" t="s">
        <v>612</v>
      </c>
      <c r="AS124" s="3983"/>
      <c r="AT124" s="4030"/>
      <c r="AU124" s="4030" t="str">
        <f>IF(T124="","",T124)</f>
        <v>Добавить значение признака дифференциации</v>
      </c>
      <c r="AV124" s="4030"/>
      <c r="AW124" s="4030"/>
      <c r="AX124" s="3916">
        <v>0</v>
      </c>
    </row>
    <row s="10102" customFormat="1" customHeight="1" ht="23.25">
      <c r="A125" s="4017"/>
      <c r="B125" s="4017"/>
      <c r="C125" s="4017"/>
      <c r="D125" s="4017"/>
      <c r="E125" s="4018"/>
      <c r="F125" s="4018"/>
      <c r="G125" s="4018"/>
      <c r="H125" s="4018"/>
      <c r="I125" s="4019"/>
      <c r="J125" s="4020" t="str">
        <f>I116&amp;".3"</f>
        <v>1.5.1.1.3</v>
      </c>
      <c r="K125" s="4017"/>
      <c r="L125" s="4021" t="s">
        <v>534</v>
      </c>
      <c r="M125" s="4022"/>
      <c r="N125" s="4022"/>
      <c r="O125" s="4022"/>
      <c r="P125" s="4023"/>
      <c r="Q125" s="4024" t="s">
        <v>105</v>
      </c>
      <c r="R125" s="4025"/>
      <c r="S125" s="4026" t="str">
        <f>$J125</f>
        <v>1.5.1.1.3</v>
      </c>
      <c r="T125" s="4027" t="s">
        <v>535</v>
      </c>
      <c r="U125" s="4028"/>
      <c r="V125" s="3932"/>
      <c r="W125" s="3933"/>
      <c r="X125" s="3933"/>
      <c r="Y125" s="3933"/>
      <c r="Z125" s="3933"/>
      <c r="AA125" s="3933"/>
      <c r="AB125" s="3934"/>
      <c r="AC125" s="3932" t="s">
        <v>623</v>
      </c>
      <c r="AD125" s="3933"/>
      <c r="AE125" s="3933"/>
      <c r="AF125" s="3933"/>
      <c r="AG125" s="3933"/>
      <c r="AH125" s="3933"/>
      <c r="AI125" s="3933"/>
      <c r="AJ125" s="3932"/>
      <c r="AK125" s="3933"/>
      <c r="AL125" s="3933"/>
      <c r="AM125" s="3933"/>
      <c r="AN125" s="3933"/>
      <c r="AO125" s="3933"/>
      <c r="AP125" s="3934"/>
      <c r="AQ125" s="3934"/>
      <c r="AR125" s="4029" t="s">
        <v>610</v>
      </c>
      <c r="AS125" s="3983"/>
      <c r="AT125" s="4030"/>
      <c r="AU125" s="4030" t="str">
        <f>IF(T125="","",T125)</f>
        <v>Группа потребителей</v>
      </c>
      <c r="AV125" s="4030"/>
      <c r="AW125" s="4030"/>
      <c r="AX125" s="3916">
        <v>0</v>
      </c>
    </row>
    <row s="10103" customFormat="1" customHeight="1" ht="23.25">
      <c r="A126" s="4017"/>
      <c r="B126" s="4017"/>
      <c r="C126" s="4017"/>
      <c r="D126" s="4017"/>
      <c r="E126" s="4018"/>
      <c r="F126" s="4018"/>
      <c r="G126" s="4018"/>
      <c r="H126" s="4018"/>
      <c r="I126" s="4019"/>
      <c r="J126" s="4019" t="str">
        <f>I116&amp;".2"</f>
        <v>1.5.1.1.2</v>
      </c>
      <c r="K126" s="4020" t="str">
        <f>J125&amp;".1"</f>
        <v>1.5.1.1.3.1</v>
      </c>
      <c r="L126" s="4021"/>
      <c r="M126" s="4022"/>
      <c r="N126" s="4022"/>
      <c r="O126" s="4022"/>
      <c r="P126" s="4023"/>
      <c r="Q126" s="4023"/>
      <c r="R126" s="4025">
        <v>1</v>
      </c>
      <c r="S126" s="4026" t="str">
        <f>$K126</f>
        <v>1.5.1.1.3.1</v>
      </c>
      <c r="T126" s="4032"/>
      <c r="U126" s="4028"/>
      <c r="V126" s="3936"/>
      <c r="W126" s="3936"/>
      <c r="X126" s="3937"/>
      <c r="Y126" s="3938"/>
      <c r="Z126" s="3939" t="s">
        <v>66</v>
      </c>
      <c r="AA126" s="3938"/>
      <c r="AB126" s="3939" t="s">
        <v>66</v>
      </c>
      <c r="AC126" s="3936">
        <v>54.69</v>
      </c>
      <c r="AD126" s="3936"/>
      <c r="AE126" s="3937"/>
      <c r="AF126" s="3938">
        <v>45658</v>
      </c>
      <c r="AG126" s="3939" t="s">
        <v>66</v>
      </c>
      <c r="AH126" s="4006">
        <v>45838</v>
      </c>
      <c r="AI126" s="3939" t="s">
        <v>66</v>
      </c>
      <c r="AJ126" s="3936">
        <v>102.47</v>
      </c>
      <c r="AK126" s="3936"/>
      <c r="AL126" s="3937"/>
      <c r="AM126" s="3938">
        <v>45839</v>
      </c>
      <c r="AN126" s="3939" t="s">
        <v>66</v>
      </c>
      <c r="AO126" s="3938">
        <v>46022</v>
      </c>
      <c r="AP126" s="3939" t="s">
        <v>66</v>
      </c>
      <c r="AQ126" s="4033"/>
      <c r="AR126" s="4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126" s="3983">
        <f>STRCHECKDATE(V127:AQ127)</f>
      </c>
      <c r="AT126" s="4030"/>
      <c r="AU126" s="4030" t="str">
        <f>IF(T126="","",T126)</f>
        <v/>
      </c>
      <c r="AV126" s="4030"/>
      <c r="AW126" s="4030"/>
      <c r="AX126" s="3916">
        <v>0</v>
      </c>
    </row>
    <row s="10104" customFormat="1" customHeight="1" ht="14.25">
      <c r="A127" s="4017"/>
      <c r="B127" s="4017"/>
      <c r="C127" s="4017"/>
      <c r="D127" s="4017"/>
      <c r="E127" s="4018"/>
      <c r="F127" s="4018"/>
      <c r="G127" s="4018"/>
      <c r="H127" s="4018"/>
      <c r="I127" s="4019"/>
      <c r="J127" s="4019" t="str">
        <f>I116&amp;".2"</f>
        <v>1.5.1.1.2</v>
      </c>
      <c r="K127" s="4020"/>
      <c r="L127" s="4021"/>
      <c r="M127" s="4022"/>
      <c r="N127" s="4022"/>
      <c r="O127" s="4022"/>
      <c r="P127" s="4023"/>
      <c r="Q127" s="4023"/>
      <c r="R127" s="4025"/>
      <c r="S127" s="4036"/>
      <c r="T127" s="4028"/>
      <c r="U127" s="4028"/>
      <c r="V127" s="3943"/>
      <c r="W127" s="3943"/>
      <c r="X127" s="3944" t="str">
        <f>Y126&amp;"-"&amp;AA126</f>
        <v>-</v>
      </c>
      <c r="Y127" s="3945"/>
      <c r="Z127" s="3939"/>
      <c r="AA127" s="3945"/>
      <c r="AB127" s="3939"/>
      <c r="AC127" s="3943"/>
      <c r="AD127" s="3943"/>
      <c r="AE127" s="3944" t="str">
        <f>AF126&amp;"-"&amp;AH126</f>
        <v>45658-45838</v>
      </c>
      <c r="AF127" s="3945"/>
      <c r="AG127" s="3939"/>
      <c r="AH127" s="4008"/>
      <c r="AI127" s="3939"/>
      <c r="AJ127" s="3943"/>
      <c r="AK127" s="3943"/>
      <c r="AL127" s="3944" t="str">
        <f>AM126&amp;"-"&amp;AO126</f>
        <v>45839-46022</v>
      </c>
      <c r="AM127" s="3945"/>
      <c r="AN127" s="3939"/>
      <c r="AO127" s="3945"/>
      <c r="AP127" s="3939"/>
      <c r="AQ127" s="4037"/>
      <c r="AR127" s="4034"/>
      <c r="AS127" s="3983"/>
      <c r="AT127" s="4030"/>
      <c r="AU127" s="4030" t="str">
        <f>IF(T127="","",T127)</f>
        <v/>
      </c>
      <c r="AV127" s="4030"/>
      <c r="AW127" s="4030"/>
      <c r="AX127" s="3916">
        <v>0</v>
      </c>
    </row>
    <row s="10105" customFormat="1" customHeight="1" ht="21">
      <c r="A128" s="4017"/>
      <c r="B128" s="4017"/>
      <c r="C128" s="4017"/>
      <c r="D128" s="4017"/>
      <c r="E128" s="4018"/>
      <c r="F128" s="4018"/>
      <c r="G128" s="4018"/>
      <c r="H128" s="4018"/>
      <c r="I128" s="4019"/>
      <c r="J128" s="4020" t="str">
        <f>I116&amp;".2"</f>
        <v>1.5.1.1.2</v>
      </c>
      <c r="K128" s="4017"/>
      <c r="L128" s="4021"/>
      <c r="M128" s="4022"/>
      <c r="N128" s="4022"/>
      <c r="O128" s="4022"/>
      <c r="P128" s="4023"/>
      <c r="Q128" s="4023"/>
      <c r="R128" s="4039"/>
      <c r="S128" s="4631"/>
      <c r="T128" s="4632" t="s">
        <v>611</v>
      </c>
      <c r="U128" s="4633"/>
      <c r="V128" s="4634"/>
      <c r="W128" s="4635"/>
      <c r="X128" s="4636"/>
      <c r="Y128" s="4637"/>
      <c r="Z128" s="4638"/>
      <c r="AA128" s="4639"/>
      <c r="AB128" s="4640"/>
      <c r="AC128" s="4641"/>
      <c r="AD128" s="4642"/>
      <c r="AE128" s="4643"/>
      <c r="AF128" s="4644"/>
      <c r="AG128" s="4645"/>
      <c r="AH128" s="4646"/>
      <c r="AI128" s="4647"/>
      <c r="AJ128" s="4648"/>
      <c r="AK128" s="4649"/>
      <c r="AL128" s="4650"/>
      <c r="AM128" s="4651"/>
      <c r="AN128" s="4652"/>
      <c r="AO128" s="4653"/>
      <c r="AP128" s="4654"/>
      <c r="AQ128" s="4655"/>
      <c r="AR128" s="4065" t="s">
        <v>612</v>
      </c>
      <c r="AS128" s="3983"/>
      <c r="AT128" s="4030"/>
      <c r="AU128" s="4030" t="str">
        <f>IF(T128="","",T128)</f>
        <v>Добавить значение признака дифференциации</v>
      </c>
      <c r="AV128" s="4030"/>
      <c r="AW128" s="4030"/>
      <c r="AX128" s="3916">
        <v>0</v>
      </c>
    </row>
    <row s="10131" customFormat="1" customHeight="1" ht="21">
      <c r="A129" s="4017"/>
      <c r="B129" s="4017"/>
      <c r="C129" s="4017"/>
      <c r="D129" s="4017"/>
      <c r="E129" s="4018"/>
      <c r="F129" s="4018" t="s">
        <v>91</v>
      </c>
      <c r="G129" s="4018"/>
      <c r="H129" s="4018"/>
      <c r="I129" s="4020"/>
      <c r="J129" s="4017"/>
      <c r="K129" s="4017"/>
      <c r="L129" s="4021"/>
      <c r="M129" s="4022"/>
      <c r="N129" s="4022"/>
      <c r="O129" s="4022"/>
      <c r="P129" s="4023"/>
      <c r="Q129" s="4023"/>
      <c r="R129" s="4039"/>
      <c r="S129" s="4657"/>
      <c r="T129" s="4658" t="s">
        <v>540</v>
      </c>
      <c r="U129" s="4659"/>
      <c r="V129" s="4660"/>
      <c r="W129" s="4661"/>
      <c r="X129" s="4662"/>
      <c r="Y129" s="4663"/>
      <c r="Z129" s="4664"/>
      <c r="AA129" s="4665"/>
      <c r="AB129" s="4666"/>
      <c r="AC129" s="4667"/>
      <c r="AD129" s="4668"/>
      <c r="AE129" s="4669"/>
      <c r="AF129" s="4670"/>
      <c r="AG129" s="4671"/>
      <c r="AH129" s="4672"/>
      <c r="AI129" s="4673"/>
      <c r="AJ129" s="4674"/>
      <c r="AK129" s="4675"/>
      <c r="AL129" s="4676"/>
      <c r="AM129" s="4677"/>
      <c r="AN129" s="4678"/>
      <c r="AO129" s="4679"/>
      <c r="AP129" s="4680"/>
      <c r="AQ129" s="4681"/>
      <c r="AR129" s="4682"/>
      <c r="AS129" s="3983"/>
      <c r="AT129" s="4030"/>
      <c r="AU129" s="4030" t="str">
        <f>IF(T129="","",T129)</f>
        <v>Добавить группу потребителей</v>
      </c>
      <c r="AV129" s="4030"/>
      <c r="AW129" s="4030"/>
      <c r="AX129" s="3916">
        <v>0</v>
      </c>
    </row>
    <row s="10158" customFormat="1" customHeight="1" ht="14.25">
      <c r="A130" s="4017"/>
      <c r="B130" s="4017"/>
      <c r="C130" s="4017"/>
      <c r="D130" s="4017"/>
      <c r="E130" s="4018"/>
      <c r="F130" s="4018" t="s">
        <v>91</v>
      </c>
      <c r="G130" s="4018"/>
      <c r="H130" s="4110"/>
      <c r="I130" s="4017"/>
      <c r="J130" s="4017"/>
      <c r="K130" s="4017"/>
      <c r="L130" s="4021"/>
      <c r="M130" s="4111"/>
      <c r="N130" s="4111"/>
      <c r="O130" s="3973"/>
      <c r="P130" s="4239"/>
      <c r="Q130" s="4240"/>
      <c r="R130" s="4241"/>
      <c r="S130" s="4684"/>
      <c r="T130" s="4685" t="s">
        <v>613</v>
      </c>
      <c r="U130" s="4686"/>
      <c r="V130" s="4687"/>
      <c r="W130" s="4688"/>
      <c r="X130" s="4689"/>
      <c r="Y130" s="4690"/>
      <c r="Z130" s="4691"/>
      <c r="AA130" s="4692"/>
      <c r="AB130" s="4693"/>
      <c r="AC130" s="4694"/>
      <c r="AD130" s="4695"/>
      <c r="AE130" s="4696"/>
      <c r="AF130" s="4697"/>
      <c r="AG130" s="4698"/>
      <c r="AH130" s="4699"/>
      <c r="AI130" s="4700"/>
      <c r="AJ130" s="4701"/>
      <c r="AK130" s="4702"/>
      <c r="AL130" s="4703"/>
      <c r="AM130" s="4704"/>
      <c r="AN130" s="4705"/>
      <c r="AO130" s="4706"/>
      <c r="AP130" s="4707"/>
      <c r="AQ130" s="4708"/>
      <c r="AR130" s="4709"/>
      <c r="AS130" s="3983"/>
      <c r="AT130" s="4030"/>
      <c r="AU130" s="4030" t="str">
        <f>IF(T130="","",T130)</f>
        <v>Добавить наименование признака дифференциации</v>
      </c>
      <c r="AV130" s="4030"/>
      <c r="AW130" s="4030"/>
      <c r="AX130" s="3916">
        <v>0</v>
      </c>
    </row>
    <row s="10185" customFormat="1" customHeight="1" ht="14.25">
      <c r="A131" s="4269"/>
      <c r="B131" s="4269"/>
      <c r="C131" s="4269"/>
      <c r="D131" s="4269"/>
      <c r="E131" s="4018"/>
      <c r="F131" s="4110" t="s">
        <v>91</v>
      </c>
      <c r="G131" s="4269"/>
      <c r="H131" s="4269"/>
      <c r="I131" s="4269"/>
      <c r="J131" s="4269"/>
      <c r="K131" s="4269"/>
      <c r="L131" s="4270"/>
      <c r="M131" s="4271"/>
      <c r="N131" s="4271"/>
      <c r="O131" s="3983"/>
      <c r="P131" s="4272"/>
      <c r="Q131" s="4273"/>
      <c r="R131" s="4272"/>
      <c r="S131" s="4274"/>
      <c r="T131" s="4275" t="s">
        <v>298</v>
      </c>
      <c r="U131" s="3971"/>
      <c r="V131" s="3971"/>
      <c r="W131" s="3971"/>
      <c r="X131" s="3971"/>
      <c r="Y131" s="3971"/>
      <c r="Z131" s="3971"/>
      <c r="AA131" s="3971"/>
      <c r="AB131" s="3971"/>
      <c r="AC131" s="3971"/>
      <c r="AD131" s="3971"/>
      <c r="AE131" s="3971"/>
      <c r="AF131" s="3971"/>
      <c r="AG131" s="3971"/>
      <c r="AH131" s="3971"/>
      <c r="AI131" s="3971"/>
      <c r="AJ131" s="3971"/>
      <c r="AK131" s="3971"/>
      <c r="AL131" s="3971"/>
      <c r="AM131" s="3971"/>
      <c r="AN131" s="3971"/>
      <c r="AO131" s="3971"/>
      <c r="AP131" s="3971"/>
      <c r="AQ131" s="3971"/>
      <c r="AR131" s="3971"/>
      <c r="AS131" s="3983"/>
      <c r="AT131" s="4030"/>
      <c r="AU131" s="4030" t="str">
        <f>IF(T131="","",T131)</f>
        <v>Добавить централизованную систему для дифференциации</v>
      </c>
      <c r="AV131" s="4030"/>
      <c r="AW131" s="4030"/>
      <c r="AX131" s="3983">
        <v>0</v>
      </c>
    </row>
    <row s="10186" customFormat="1" customHeight="1" ht="23.25">
      <c r="A132" s="4017"/>
      <c r="B132" s="4017" t="s">
        <v>312</v>
      </c>
      <c r="C132" s="4017"/>
      <c r="D132" s="4017"/>
      <c r="E132" s="4018"/>
      <c r="F132" s="4110" t="s">
        <v>92</v>
      </c>
      <c r="G132" s="4017"/>
      <c r="H132" s="4017"/>
      <c r="I132" s="4017"/>
      <c r="J132" s="4017"/>
      <c r="K132" s="4017"/>
      <c r="L132" s="4021"/>
      <c r="M132" s="4111"/>
      <c r="N132" s="4111"/>
      <c r="O132" s="4111"/>
      <c r="P132" s="4112"/>
      <c r="Q132" s="4113"/>
      <c r="R132" s="4114"/>
      <c r="S132" s="4026" t="str">
        <f>INDEX(PT_DIFFERENTIATION_NUM_TER,MATCH(B132,PT_DIFFERENTIATION_TER_ID,0))</f>
        <v>1.6</v>
      </c>
      <c r="T132" s="4115" t="s">
        <v>525</v>
      </c>
      <c r="U132" s="4028"/>
      <c r="V132" s="3918"/>
      <c r="W132" s="3919"/>
      <c r="X132" s="3919"/>
      <c r="Y132" s="3919"/>
      <c r="Z132" s="3919"/>
      <c r="AA132" s="3919"/>
      <c r="AB132" s="3920"/>
      <c r="AC132" s="3918" t="str">
        <f>INDEX(PT_DIFFERENTIATION_TER,MATCH(B132,PT_DIFFERENTIATION_TER_ID,0))</f>
        <v>Территория 6</v>
      </c>
      <c r="AD132" s="3919"/>
      <c r="AE132" s="3919"/>
      <c r="AF132" s="3919"/>
      <c r="AG132" s="3919"/>
      <c r="AH132" s="3919"/>
      <c r="AI132" s="3919"/>
      <c r="AJ132" s="3918"/>
      <c r="AK132" s="3919"/>
      <c r="AL132" s="3919"/>
      <c r="AM132" s="3919"/>
      <c r="AN132" s="3919"/>
      <c r="AO132" s="3919"/>
      <c r="AP132" s="3920"/>
      <c r="AQ132" s="3920"/>
      <c r="AR132" s="4065" t="s">
        <v>526</v>
      </c>
      <c r="AS132" s="3983"/>
      <c r="AT132" s="4030"/>
      <c r="AU132" s="4030" t="str">
        <f>IF(T132="","",T132)</f>
        <v>Территория действия тарифа</v>
      </c>
      <c r="AV132" s="4030"/>
      <c r="AW132" s="4030"/>
      <c r="AX132" s="3916">
        <v>0</v>
      </c>
    </row>
    <row s="10187" customFormat="1" customHeight="1" ht="23.25">
      <c r="A133" s="4017"/>
      <c r="B133" s="4017"/>
      <c r="C133" s="4017" t="s">
        <v>313</v>
      </c>
      <c r="D133" s="4017"/>
      <c r="E133" s="4018"/>
      <c r="F133" s="4018" t="s">
        <v>118</v>
      </c>
      <c r="G133" s="4110">
        <v>1</v>
      </c>
      <c r="H133" s="4017"/>
      <c r="I133" s="4017"/>
      <c r="J133" s="4017"/>
      <c r="K133" s="4017"/>
      <c r="L133" s="4021"/>
      <c r="M133" s="4111"/>
      <c r="N133" s="4111"/>
      <c r="O133" s="4111"/>
      <c r="P133" s="4117"/>
      <c r="Q133" s="4113"/>
      <c r="R133" s="4114"/>
      <c r="S133" s="4026" t="str">
        <f>INDEX(PT_DIFFERENTIATION_NUM_CS,MATCH(C133,PT_DIFFERENTIATION_CS_ID,0))</f>
        <v>1.6.1</v>
      </c>
      <c r="T133" s="4118" t="s">
        <v>606</v>
      </c>
      <c r="U133" s="4028"/>
      <c r="V133" s="3918"/>
      <c r="W133" s="3919"/>
      <c r="X133" s="3919"/>
      <c r="Y133" s="3919"/>
      <c r="Z133" s="3919"/>
      <c r="AA133" s="3919"/>
      <c r="AB133" s="3920"/>
      <c r="AC133" s="3918" t="str">
        <f>INDEX(PT_DIFFERENTIATION_CS,MATCH(C133,PT_DIFFERENTIATION_CS_ID,0))</f>
        <v>п. им. Маршала Жукова</v>
      </c>
      <c r="AD133" s="3919"/>
      <c r="AE133" s="3919"/>
      <c r="AF133" s="3919"/>
      <c r="AG133" s="3919"/>
      <c r="AH133" s="3919"/>
      <c r="AI133" s="3919"/>
      <c r="AJ133" s="3918"/>
      <c r="AK133" s="3919"/>
      <c r="AL133" s="3919"/>
      <c r="AM133" s="3919"/>
      <c r="AN133" s="3919"/>
      <c r="AO133" s="3919"/>
      <c r="AP133" s="3920"/>
      <c r="AQ133" s="3920"/>
      <c r="AR133" s="4065" t="s">
        <v>607</v>
      </c>
      <c r="AS133" s="3983"/>
      <c r="AT133" s="4030"/>
      <c r="AU133" s="4030" t="str">
        <f>IF(T133="","",T133)</f>
        <v>Наименование централизованной системы холодного водоснабжения</v>
      </c>
      <c r="AV133" s="4030"/>
      <c r="AW133" s="4030"/>
      <c r="AX133" s="3916">
        <v>0</v>
      </c>
    </row>
    <row s="10188" customFormat="1" customHeight="1" ht="23.25">
      <c r="A134" s="4017"/>
      <c r="B134" s="4017"/>
      <c r="C134" s="4017"/>
      <c r="D134" s="4017"/>
      <c r="E134" s="4018"/>
      <c r="F134" s="4018" t="s">
        <v>118</v>
      </c>
      <c r="G134" s="4018"/>
      <c r="H134" s="4018"/>
      <c r="I134" s="4020" t="str">
        <f>S133&amp;".1"</f>
        <v>1.6.1.1</v>
      </c>
      <c r="J134" s="4017"/>
      <c r="K134" s="4017"/>
      <c r="L134" s="4021"/>
      <c r="M134" s="4022"/>
      <c r="N134" s="4022"/>
      <c r="O134" s="4022"/>
      <c r="P134" s="4023">
        <v>1</v>
      </c>
      <c r="Q134" s="4023"/>
      <c r="R134" s="4039"/>
      <c r="S134" s="4026" t="str">
        <f>$I134</f>
        <v>1.6.1.1</v>
      </c>
      <c r="T134" s="4120" t="s">
        <v>608</v>
      </c>
      <c r="U134" s="4028"/>
      <c r="V134" s="3928"/>
      <c r="W134" s="3929"/>
      <c r="X134" s="3929"/>
      <c r="Y134" s="3929"/>
      <c r="Z134" s="3929"/>
      <c r="AA134" s="3929"/>
      <c r="AB134" s="3930"/>
      <c r="AC134" s="4121"/>
      <c r="AD134" s="4122"/>
      <c r="AE134" s="4122"/>
      <c r="AF134" s="4122"/>
      <c r="AG134" s="4122"/>
      <c r="AH134" s="4122"/>
      <c r="AI134" s="4122"/>
      <c r="AJ134" s="3928"/>
      <c r="AK134" s="3929"/>
      <c r="AL134" s="3929"/>
      <c r="AM134" s="3929"/>
      <c r="AN134" s="3929"/>
      <c r="AO134" s="3929"/>
      <c r="AP134" s="3930"/>
      <c r="AQ134" s="4123"/>
      <c r="AR134" s="4065" t="s">
        <v>609</v>
      </c>
      <c r="AS134" s="3983"/>
      <c r="AT134" s="4030"/>
      <c r="AU134" s="4030" t="str">
        <f>IF(T134="","",T134)</f>
        <v>Наименование признака дифференциации</v>
      </c>
      <c r="AV134" s="4030"/>
      <c r="AW134" s="4030"/>
      <c r="AX134" s="3916">
        <v>0</v>
      </c>
    </row>
    <row s="10189" customFormat="1" customHeight="1" ht="23.25">
      <c r="A135" s="4017"/>
      <c r="B135" s="4017"/>
      <c r="C135" s="4017"/>
      <c r="D135" s="4017"/>
      <c r="E135" s="4018"/>
      <c r="F135" s="4018" t="s">
        <v>118</v>
      </c>
      <c r="G135" s="4018"/>
      <c r="H135" s="4018"/>
      <c r="I135" s="4019"/>
      <c r="J135" s="4020" t="str">
        <f>I134&amp;".1"</f>
        <v>1.6.1.1.1</v>
      </c>
      <c r="K135" s="4017"/>
      <c r="L135" s="4021" t="s">
        <v>534</v>
      </c>
      <c r="M135" s="4022"/>
      <c r="N135" s="4022"/>
      <c r="O135" s="4022"/>
      <c r="P135" s="4023"/>
      <c r="Q135" s="4023">
        <v>1</v>
      </c>
      <c r="R135" s="4025"/>
      <c r="S135" s="4026" t="str">
        <f>$J135</f>
        <v>1.6.1.1.1</v>
      </c>
      <c r="T135" s="4027" t="s">
        <v>535</v>
      </c>
      <c r="U135" s="4028"/>
      <c r="V135" s="3932"/>
      <c r="W135" s="3933"/>
      <c r="X135" s="3933"/>
      <c r="Y135" s="3933"/>
      <c r="Z135" s="3933"/>
      <c r="AA135" s="3933"/>
      <c r="AB135" s="3934"/>
      <c r="AC135" s="3932" t="s">
        <v>621</v>
      </c>
      <c r="AD135" s="3933"/>
      <c r="AE135" s="3933"/>
      <c r="AF135" s="3933"/>
      <c r="AG135" s="3933"/>
      <c r="AH135" s="3933"/>
      <c r="AI135" s="3933"/>
      <c r="AJ135" s="3932"/>
      <c r="AK135" s="3933"/>
      <c r="AL135" s="3933"/>
      <c r="AM135" s="3933"/>
      <c r="AN135" s="3933"/>
      <c r="AO135" s="3933"/>
      <c r="AP135" s="3934"/>
      <c r="AQ135" s="3934"/>
      <c r="AR135" s="4029" t="s">
        <v>610</v>
      </c>
      <c r="AS135" s="3983"/>
      <c r="AT135" s="4030"/>
      <c r="AU135" s="4030" t="str">
        <f>IF(T135="","",T135)</f>
        <v>Группа потребителей</v>
      </c>
      <c r="AV135" s="4030"/>
      <c r="AW135" s="4030"/>
      <c r="AX135" s="3916">
        <v>0</v>
      </c>
    </row>
    <row s="10190" customFormat="1" customHeight="1" ht="23.25">
      <c r="A136" s="4017"/>
      <c r="B136" s="4017"/>
      <c r="C136" s="4017"/>
      <c r="D136" s="4017"/>
      <c r="E136" s="4018"/>
      <c r="F136" s="4018" t="s">
        <v>118</v>
      </c>
      <c r="G136" s="4018"/>
      <c r="H136" s="4018"/>
      <c r="I136" s="4019"/>
      <c r="J136" s="4019"/>
      <c r="K136" s="4020" t="str">
        <f>J135&amp;".1"</f>
        <v>1.6.1.1.1.1</v>
      </c>
      <c r="L136" s="4021"/>
      <c r="M136" s="4022"/>
      <c r="N136" s="4022"/>
      <c r="O136" s="4022"/>
      <c r="P136" s="4023"/>
      <c r="Q136" s="4023"/>
      <c r="R136" s="4025">
        <v>1</v>
      </c>
      <c r="S136" s="4026" t="str">
        <f>$K136</f>
        <v>1.6.1.1.1.1</v>
      </c>
      <c r="T136" s="4032"/>
      <c r="U136" s="4028"/>
      <c r="V136" s="3936"/>
      <c r="W136" s="3936"/>
      <c r="X136" s="3937"/>
      <c r="Y136" s="3938"/>
      <c r="Z136" s="3939" t="s">
        <v>66</v>
      </c>
      <c r="AA136" s="3938"/>
      <c r="AB136" s="3939" t="s">
        <v>66</v>
      </c>
      <c r="AC136" s="3936">
        <v>29.88</v>
      </c>
      <c r="AD136" s="3936"/>
      <c r="AE136" s="3937"/>
      <c r="AF136" s="3938">
        <v>45658</v>
      </c>
      <c r="AG136" s="3939" t="s">
        <v>66</v>
      </c>
      <c r="AH136" s="4006">
        <v>45838</v>
      </c>
      <c r="AI136" s="3939" t="s">
        <v>66</v>
      </c>
      <c r="AJ136" s="3936">
        <v>32.27</v>
      </c>
      <c r="AK136" s="3936"/>
      <c r="AL136" s="3937"/>
      <c r="AM136" s="3938">
        <v>45839</v>
      </c>
      <c r="AN136" s="3939" t="s">
        <v>66</v>
      </c>
      <c r="AO136" s="3938">
        <v>46022</v>
      </c>
      <c r="AP136" s="3939" t="s">
        <v>66</v>
      </c>
      <c r="AQ136" s="4033"/>
      <c r="AR136" s="4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136" s="3983">
        <f>STRCHECKDATE(V137:AQ137)</f>
      </c>
      <c r="AT136" s="4030"/>
      <c r="AU136" s="4030" t="str">
        <f>IF(T136="","",T136)</f>
        <v/>
      </c>
      <c r="AV136" s="4030"/>
      <c r="AW136" s="4030"/>
      <c r="AX136" s="3916">
        <v>0</v>
      </c>
    </row>
    <row s="10191" customFormat="1" customHeight="1" ht="14.25">
      <c r="A137" s="4017"/>
      <c r="B137" s="4017"/>
      <c r="C137" s="4017"/>
      <c r="D137" s="4017"/>
      <c r="E137" s="4018"/>
      <c r="F137" s="4018" t="s">
        <v>118</v>
      </c>
      <c r="G137" s="4018"/>
      <c r="H137" s="4018"/>
      <c r="I137" s="4019"/>
      <c r="J137" s="4019"/>
      <c r="K137" s="4020"/>
      <c r="L137" s="4021"/>
      <c r="M137" s="4022"/>
      <c r="N137" s="4022"/>
      <c r="O137" s="4022"/>
      <c r="P137" s="4023"/>
      <c r="Q137" s="4023"/>
      <c r="R137" s="4025"/>
      <c r="S137" s="4036"/>
      <c r="T137" s="4028"/>
      <c r="U137" s="4028"/>
      <c r="V137" s="3943"/>
      <c r="W137" s="3943"/>
      <c r="X137" s="3944" t="str">
        <f>Y136&amp;"-"&amp;AA136</f>
        <v>-</v>
      </c>
      <c r="Y137" s="3945"/>
      <c r="Z137" s="3939"/>
      <c r="AA137" s="3945"/>
      <c r="AB137" s="3939"/>
      <c r="AC137" s="3943"/>
      <c r="AD137" s="3943"/>
      <c r="AE137" s="3944" t="str">
        <f>AF136&amp;"-"&amp;AH136</f>
        <v>45658-45838</v>
      </c>
      <c r="AF137" s="3945"/>
      <c r="AG137" s="3939"/>
      <c r="AH137" s="4008"/>
      <c r="AI137" s="3939"/>
      <c r="AJ137" s="3943"/>
      <c r="AK137" s="3943"/>
      <c r="AL137" s="3944" t="str">
        <f>AM136&amp;"-"&amp;AO136</f>
        <v>45839-46022</v>
      </c>
      <c r="AM137" s="3945"/>
      <c r="AN137" s="3939"/>
      <c r="AO137" s="3945"/>
      <c r="AP137" s="3939"/>
      <c r="AQ137" s="4037"/>
      <c r="AR137" s="4034"/>
      <c r="AS137" s="3983"/>
      <c r="AT137" s="4030"/>
      <c r="AU137" s="4030" t="str">
        <f>IF(T137="","",T137)</f>
        <v/>
      </c>
      <c r="AV137" s="4030"/>
      <c r="AW137" s="4030"/>
      <c r="AX137" s="3916">
        <v>0</v>
      </c>
    </row>
    <row s="10192" customFormat="1" customHeight="1" ht="21">
      <c r="A138" s="4017"/>
      <c r="B138" s="4017"/>
      <c r="C138" s="4017"/>
      <c r="D138" s="4017"/>
      <c r="E138" s="4018"/>
      <c r="F138" s="4018" t="s">
        <v>118</v>
      </c>
      <c r="G138" s="4018"/>
      <c r="H138" s="4018"/>
      <c r="I138" s="4019"/>
      <c r="J138" s="4020"/>
      <c r="K138" s="4017"/>
      <c r="L138" s="4021"/>
      <c r="M138" s="4022"/>
      <c r="N138" s="4022"/>
      <c r="O138" s="4022"/>
      <c r="P138" s="4023"/>
      <c r="Q138" s="4023"/>
      <c r="R138" s="4039"/>
      <c r="S138" s="4718"/>
      <c r="T138" s="4719" t="s">
        <v>611</v>
      </c>
      <c r="U138" s="4720"/>
      <c r="V138" s="4721"/>
      <c r="W138" s="4722"/>
      <c r="X138" s="4723"/>
      <c r="Y138" s="4724"/>
      <c r="Z138" s="4725"/>
      <c r="AA138" s="4726"/>
      <c r="AB138" s="4727"/>
      <c r="AC138" s="4728"/>
      <c r="AD138" s="4729"/>
      <c r="AE138" s="4730"/>
      <c r="AF138" s="4731"/>
      <c r="AG138" s="4732"/>
      <c r="AH138" s="4733"/>
      <c r="AI138" s="4734"/>
      <c r="AJ138" s="4735"/>
      <c r="AK138" s="4736"/>
      <c r="AL138" s="4737"/>
      <c r="AM138" s="4738"/>
      <c r="AN138" s="4739"/>
      <c r="AO138" s="4740"/>
      <c r="AP138" s="4741"/>
      <c r="AQ138" s="4742"/>
      <c r="AR138" s="4065" t="s">
        <v>612</v>
      </c>
      <c r="AS138" s="3983"/>
      <c r="AT138" s="4030"/>
      <c r="AU138" s="4030" t="str">
        <f>IF(T138="","",T138)</f>
        <v>Добавить значение признака дифференциации</v>
      </c>
      <c r="AV138" s="4030"/>
      <c r="AW138" s="4030"/>
      <c r="AX138" s="3916">
        <v>0</v>
      </c>
    </row>
    <row s="10218" customFormat="1" customHeight="1" ht="23.25">
      <c r="A139" s="4017"/>
      <c r="B139" s="4017"/>
      <c r="C139" s="4017"/>
      <c r="D139" s="4017"/>
      <c r="E139" s="4018"/>
      <c r="F139" s="4018"/>
      <c r="G139" s="4018"/>
      <c r="H139" s="4018"/>
      <c r="I139" s="4019"/>
      <c r="J139" s="4020" t="str">
        <f>I134&amp;".2"</f>
        <v>1.6.1.1.2</v>
      </c>
      <c r="K139" s="4017"/>
      <c r="L139" s="4021" t="s">
        <v>534</v>
      </c>
      <c r="M139" s="4022"/>
      <c r="N139" s="4022"/>
      <c r="O139" s="4022"/>
      <c r="P139" s="4023"/>
      <c r="Q139" s="4024" t="s">
        <v>105</v>
      </c>
      <c r="R139" s="4025"/>
      <c r="S139" s="4026" t="str">
        <f>$J139</f>
        <v>1.6.1.1.2</v>
      </c>
      <c r="T139" s="4027" t="s">
        <v>535</v>
      </c>
      <c r="U139" s="4028"/>
      <c r="V139" s="3932"/>
      <c r="W139" s="3933"/>
      <c r="X139" s="3933"/>
      <c r="Y139" s="3933"/>
      <c r="Z139" s="3933"/>
      <c r="AA139" s="3933"/>
      <c r="AB139" s="3934"/>
      <c r="AC139" s="3932" t="s">
        <v>622</v>
      </c>
      <c r="AD139" s="3933"/>
      <c r="AE139" s="3933"/>
      <c r="AF139" s="3933"/>
      <c r="AG139" s="3933"/>
      <c r="AH139" s="3933"/>
      <c r="AI139" s="3933"/>
      <c r="AJ139" s="3932"/>
      <c r="AK139" s="3933"/>
      <c r="AL139" s="3933"/>
      <c r="AM139" s="3933"/>
      <c r="AN139" s="3933"/>
      <c r="AO139" s="3933"/>
      <c r="AP139" s="3934"/>
      <c r="AQ139" s="3934"/>
      <c r="AR139" s="4029" t="s">
        <v>610</v>
      </c>
      <c r="AS139" s="3983"/>
      <c r="AT139" s="4030"/>
      <c r="AU139" s="4030" t="str">
        <f>IF(T139="","",T139)</f>
        <v>Группа потребителей</v>
      </c>
      <c r="AV139" s="4030"/>
      <c r="AW139" s="4030"/>
      <c r="AX139" s="3916">
        <v>0</v>
      </c>
    </row>
    <row s="10219" customFormat="1" customHeight="1" ht="23.25">
      <c r="A140" s="4017"/>
      <c r="B140" s="4017"/>
      <c r="C140" s="4017"/>
      <c r="D140" s="4017"/>
      <c r="E140" s="4018"/>
      <c r="F140" s="4018"/>
      <c r="G140" s="4018"/>
      <c r="H140" s="4018"/>
      <c r="I140" s="4019"/>
      <c r="J140" s="4019" t="str">
        <f>I134&amp;".1"</f>
        <v>1.6.1.1.1</v>
      </c>
      <c r="K140" s="4020" t="str">
        <f>J139&amp;".1"</f>
        <v>1.6.1.1.2.1</v>
      </c>
      <c r="L140" s="4021"/>
      <c r="M140" s="4022"/>
      <c r="N140" s="4022"/>
      <c r="O140" s="4022"/>
      <c r="P140" s="4023"/>
      <c r="Q140" s="4023"/>
      <c r="R140" s="4025">
        <v>1</v>
      </c>
      <c r="S140" s="4026" t="str">
        <f>$K140</f>
        <v>1.6.1.1.2.1</v>
      </c>
      <c r="T140" s="4032"/>
      <c r="U140" s="4028"/>
      <c r="V140" s="3936"/>
      <c r="W140" s="3936"/>
      <c r="X140" s="3937"/>
      <c r="Y140" s="3938"/>
      <c r="Z140" s="3939" t="s">
        <v>66</v>
      </c>
      <c r="AA140" s="3938"/>
      <c r="AB140" s="3939" t="s">
        <v>66</v>
      </c>
      <c r="AC140" s="3936">
        <v>45.28</v>
      </c>
      <c r="AD140" s="3936"/>
      <c r="AE140" s="3937"/>
      <c r="AF140" s="3938">
        <v>45658</v>
      </c>
      <c r="AG140" s="3939" t="s">
        <v>66</v>
      </c>
      <c r="AH140" s="4006">
        <v>45838</v>
      </c>
      <c r="AI140" s="3939" t="s">
        <v>66</v>
      </c>
      <c r="AJ140" s="3936">
        <v>59.92</v>
      </c>
      <c r="AK140" s="3936"/>
      <c r="AL140" s="3937"/>
      <c r="AM140" s="3938">
        <v>45839</v>
      </c>
      <c r="AN140" s="3939" t="s">
        <v>66</v>
      </c>
      <c r="AO140" s="3938">
        <v>46022</v>
      </c>
      <c r="AP140" s="3939" t="s">
        <v>66</v>
      </c>
      <c r="AQ140" s="4033"/>
      <c r="AR140" s="4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140" s="3983">
        <f>STRCHECKDATE(V141:AQ141)</f>
      </c>
      <c r="AT140" s="4030"/>
      <c r="AU140" s="4030" t="str">
        <f>IF(T140="","",T140)</f>
        <v/>
      </c>
      <c r="AV140" s="4030"/>
      <c r="AW140" s="4030"/>
      <c r="AX140" s="3916">
        <v>0</v>
      </c>
    </row>
    <row s="10220" customFormat="1" customHeight="1" ht="14.25">
      <c r="A141" s="4017"/>
      <c r="B141" s="4017"/>
      <c r="C141" s="4017"/>
      <c r="D141" s="4017"/>
      <c r="E141" s="4018"/>
      <c r="F141" s="4018"/>
      <c r="G141" s="4018"/>
      <c r="H141" s="4018"/>
      <c r="I141" s="4019"/>
      <c r="J141" s="4019" t="str">
        <f>I134&amp;".1"</f>
        <v>1.6.1.1.1</v>
      </c>
      <c r="K141" s="4020"/>
      <c r="L141" s="4021"/>
      <c r="M141" s="4022"/>
      <c r="N141" s="4022"/>
      <c r="O141" s="4022"/>
      <c r="P141" s="4023"/>
      <c r="Q141" s="4023"/>
      <c r="R141" s="4025"/>
      <c r="S141" s="4036"/>
      <c r="T141" s="4028"/>
      <c r="U141" s="4028"/>
      <c r="V141" s="3943"/>
      <c r="W141" s="3943"/>
      <c r="X141" s="3944" t="str">
        <f>Y140&amp;"-"&amp;AA140</f>
        <v>-</v>
      </c>
      <c r="Y141" s="3945"/>
      <c r="Z141" s="3939"/>
      <c r="AA141" s="3945"/>
      <c r="AB141" s="3939"/>
      <c r="AC141" s="3943"/>
      <c r="AD141" s="3943"/>
      <c r="AE141" s="3944" t="str">
        <f>AF140&amp;"-"&amp;AH140</f>
        <v>45658-45838</v>
      </c>
      <c r="AF141" s="3945"/>
      <c r="AG141" s="3939"/>
      <c r="AH141" s="4008"/>
      <c r="AI141" s="3939"/>
      <c r="AJ141" s="3943"/>
      <c r="AK141" s="3943"/>
      <c r="AL141" s="3944" t="str">
        <f>AM140&amp;"-"&amp;AO140</f>
        <v>45839-46022</v>
      </c>
      <c r="AM141" s="3945"/>
      <c r="AN141" s="3939"/>
      <c r="AO141" s="3945"/>
      <c r="AP141" s="3939"/>
      <c r="AQ141" s="4037"/>
      <c r="AR141" s="4034"/>
      <c r="AS141" s="3983"/>
      <c r="AT141" s="4030"/>
      <c r="AU141" s="4030" t="str">
        <f>IF(T141="","",T141)</f>
        <v/>
      </c>
      <c r="AV141" s="4030"/>
      <c r="AW141" s="4030"/>
      <c r="AX141" s="3916">
        <v>0</v>
      </c>
    </row>
    <row s="10221" customFormat="1" customHeight="1" ht="21">
      <c r="A142" s="4017"/>
      <c r="B142" s="4017"/>
      <c r="C142" s="4017"/>
      <c r="D142" s="4017"/>
      <c r="E142" s="4018"/>
      <c r="F142" s="4018"/>
      <c r="G142" s="4018"/>
      <c r="H142" s="4018"/>
      <c r="I142" s="4019"/>
      <c r="J142" s="4020" t="str">
        <f>I134&amp;".1"</f>
        <v>1.6.1.1.1</v>
      </c>
      <c r="K142" s="4017"/>
      <c r="L142" s="4021"/>
      <c r="M142" s="4022"/>
      <c r="N142" s="4022"/>
      <c r="O142" s="4022"/>
      <c r="P142" s="4023"/>
      <c r="Q142" s="4023"/>
      <c r="R142" s="4039"/>
      <c r="S142" s="4747"/>
      <c r="T142" s="4748" t="s">
        <v>611</v>
      </c>
      <c r="U142" s="4749"/>
      <c r="V142" s="4750"/>
      <c r="W142" s="4751"/>
      <c r="X142" s="4752"/>
      <c r="Y142" s="4753"/>
      <c r="Z142" s="4754"/>
      <c r="AA142" s="4755"/>
      <c r="AB142" s="4756"/>
      <c r="AC142" s="4757"/>
      <c r="AD142" s="4758"/>
      <c r="AE142" s="4759"/>
      <c r="AF142" s="4760"/>
      <c r="AG142" s="4761"/>
      <c r="AH142" s="4762"/>
      <c r="AI142" s="4763"/>
      <c r="AJ142" s="4764"/>
      <c r="AK142" s="4765"/>
      <c r="AL142" s="4766"/>
      <c r="AM142" s="4767"/>
      <c r="AN142" s="4768"/>
      <c r="AO142" s="4769"/>
      <c r="AP142" s="4770"/>
      <c r="AQ142" s="4771"/>
      <c r="AR142" s="4065" t="s">
        <v>612</v>
      </c>
      <c r="AS142" s="3983"/>
      <c r="AT142" s="4030"/>
      <c r="AU142" s="4030" t="str">
        <f>IF(T142="","",T142)</f>
        <v>Добавить значение признака дифференциации</v>
      </c>
      <c r="AV142" s="4030"/>
      <c r="AW142" s="4030"/>
      <c r="AX142" s="3916">
        <v>0</v>
      </c>
    </row>
    <row s="10247" customFormat="1" customHeight="1" ht="23.25">
      <c r="A143" s="4017"/>
      <c r="B143" s="4017"/>
      <c r="C143" s="4017"/>
      <c r="D143" s="4017"/>
      <c r="E143" s="4018"/>
      <c r="F143" s="4018"/>
      <c r="G143" s="4018"/>
      <c r="H143" s="4018"/>
      <c r="I143" s="4019"/>
      <c r="J143" s="4020" t="str">
        <f>I134&amp;".3"</f>
        <v>1.6.1.1.3</v>
      </c>
      <c r="K143" s="4017"/>
      <c r="L143" s="4021" t="s">
        <v>534</v>
      </c>
      <c r="M143" s="4022"/>
      <c r="N143" s="4022"/>
      <c r="O143" s="4022"/>
      <c r="P143" s="4023"/>
      <c r="Q143" s="4024" t="s">
        <v>105</v>
      </c>
      <c r="R143" s="4025"/>
      <c r="S143" s="4026" t="str">
        <f>$J143</f>
        <v>1.6.1.1.3</v>
      </c>
      <c r="T143" s="4027" t="s">
        <v>535</v>
      </c>
      <c r="U143" s="4028"/>
      <c r="V143" s="3932"/>
      <c r="W143" s="3933"/>
      <c r="X143" s="3933"/>
      <c r="Y143" s="3933"/>
      <c r="Z143" s="3933"/>
      <c r="AA143" s="3933"/>
      <c r="AB143" s="3934"/>
      <c r="AC143" s="3932" t="s">
        <v>623</v>
      </c>
      <c r="AD143" s="3933"/>
      <c r="AE143" s="3933"/>
      <c r="AF143" s="3933"/>
      <c r="AG143" s="3933"/>
      <c r="AH143" s="3933"/>
      <c r="AI143" s="3933"/>
      <c r="AJ143" s="3932"/>
      <c r="AK143" s="3933"/>
      <c r="AL143" s="3933"/>
      <c r="AM143" s="3933"/>
      <c r="AN143" s="3933"/>
      <c r="AO143" s="3933"/>
      <c r="AP143" s="3934"/>
      <c r="AQ143" s="3934"/>
      <c r="AR143" s="4029" t="s">
        <v>610</v>
      </c>
      <c r="AS143" s="3983"/>
      <c r="AT143" s="4030"/>
      <c r="AU143" s="4030" t="str">
        <f>IF(T143="","",T143)</f>
        <v>Группа потребителей</v>
      </c>
      <c r="AV143" s="4030"/>
      <c r="AW143" s="4030"/>
      <c r="AX143" s="3916">
        <v>0</v>
      </c>
    </row>
    <row s="10248" customFormat="1" customHeight="1" ht="23.25">
      <c r="A144" s="4017"/>
      <c r="B144" s="4017"/>
      <c r="C144" s="4017"/>
      <c r="D144" s="4017"/>
      <c r="E144" s="4018"/>
      <c r="F144" s="4018"/>
      <c r="G144" s="4018"/>
      <c r="H144" s="4018"/>
      <c r="I144" s="4019"/>
      <c r="J144" s="4019" t="str">
        <f>I134&amp;".2"</f>
        <v>1.6.1.1.2</v>
      </c>
      <c r="K144" s="4020" t="str">
        <f>J143&amp;".1"</f>
        <v>1.6.1.1.3.1</v>
      </c>
      <c r="L144" s="4021"/>
      <c r="M144" s="4022"/>
      <c r="N144" s="4022"/>
      <c r="O144" s="4022"/>
      <c r="P144" s="4023"/>
      <c r="Q144" s="4023"/>
      <c r="R144" s="4025">
        <v>1</v>
      </c>
      <c r="S144" s="4026" t="str">
        <f>$K144</f>
        <v>1.6.1.1.3.1</v>
      </c>
      <c r="T144" s="4032"/>
      <c r="U144" s="4028"/>
      <c r="V144" s="3936"/>
      <c r="W144" s="3936"/>
      <c r="X144" s="3937"/>
      <c r="Y144" s="3938"/>
      <c r="Z144" s="3939" t="s">
        <v>66</v>
      </c>
      <c r="AA144" s="3938"/>
      <c r="AB144" s="3939" t="s">
        <v>66</v>
      </c>
      <c r="AC144" s="3936">
        <v>45.28</v>
      </c>
      <c r="AD144" s="3936"/>
      <c r="AE144" s="3937"/>
      <c r="AF144" s="3938">
        <v>45658</v>
      </c>
      <c r="AG144" s="3939" t="s">
        <v>66</v>
      </c>
      <c r="AH144" s="4006">
        <v>45838</v>
      </c>
      <c r="AI144" s="3939" t="s">
        <v>66</v>
      </c>
      <c r="AJ144" s="3936">
        <v>59.92</v>
      </c>
      <c r="AK144" s="3936"/>
      <c r="AL144" s="3937"/>
      <c r="AM144" s="3938">
        <v>45839</v>
      </c>
      <c r="AN144" s="3939" t="s">
        <v>66</v>
      </c>
      <c r="AO144" s="3938">
        <v>46022</v>
      </c>
      <c r="AP144" s="3939" t="s">
        <v>66</v>
      </c>
      <c r="AQ144" s="4033"/>
      <c r="AR144" s="4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144" s="3983">
        <f>STRCHECKDATE(V145:AQ145)</f>
      </c>
      <c r="AT144" s="4030"/>
      <c r="AU144" s="4030" t="str">
        <f>IF(T144="","",T144)</f>
        <v/>
      </c>
      <c r="AV144" s="4030"/>
      <c r="AW144" s="4030"/>
      <c r="AX144" s="3916">
        <v>0</v>
      </c>
    </row>
    <row s="10249" customFormat="1" customHeight="1" ht="14.25">
      <c r="A145" s="4017"/>
      <c r="B145" s="4017"/>
      <c r="C145" s="4017"/>
      <c r="D145" s="4017"/>
      <c r="E145" s="4018"/>
      <c r="F145" s="4018"/>
      <c r="G145" s="4018"/>
      <c r="H145" s="4018"/>
      <c r="I145" s="4019"/>
      <c r="J145" s="4019" t="str">
        <f>I134&amp;".2"</f>
        <v>1.6.1.1.2</v>
      </c>
      <c r="K145" s="4020"/>
      <c r="L145" s="4021"/>
      <c r="M145" s="4022"/>
      <c r="N145" s="4022"/>
      <c r="O145" s="4022"/>
      <c r="P145" s="4023"/>
      <c r="Q145" s="4023"/>
      <c r="R145" s="4025"/>
      <c r="S145" s="4036"/>
      <c r="T145" s="4028"/>
      <c r="U145" s="4028"/>
      <c r="V145" s="3943"/>
      <c r="W145" s="3943"/>
      <c r="X145" s="3944" t="str">
        <f>Y144&amp;"-"&amp;AA144</f>
        <v>-</v>
      </c>
      <c r="Y145" s="3945"/>
      <c r="Z145" s="3939"/>
      <c r="AA145" s="3945"/>
      <c r="AB145" s="3939"/>
      <c r="AC145" s="3943"/>
      <c r="AD145" s="3943"/>
      <c r="AE145" s="3944" t="str">
        <f>AF144&amp;"-"&amp;AH144</f>
        <v>45658-45838</v>
      </c>
      <c r="AF145" s="3945"/>
      <c r="AG145" s="3939"/>
      <c r="AH145" s="4008"/>
      <c r="AI145" s="3939"/>
      <c r="AJ145" s="3943"/>
      <c r="AK145" s="3943"/>
      <c r="AL145" s="3944" t="str">
        <f>AM144&amp;"-"&amp;AO144</f>
        <v>45839-46022</v>
      </c>
      <c r="AM145" s="3945"/>
      <c r="AN145" s="3939"/>
      <c r="AO145" s="3945"/>
      <c r="AP145" s="3939"/>
      <c r="AQ145" s="4037"/>
      <c r="AR145" s="4034"/>
      <c r="AS145" s="3983"/>
      <c r="AT145" s="4030"/>
      <c r="AU145" s="4030" t="str">
        <f>IF(T145="","",T145)</f>
        <v/>
      </c>
      <c r="AV145" s="4030"/>
      <c r="AW145" s="4030"/>
      <c r="AX145" s="3916">
        <v>0</v>
      </c>
    </row>
    <row s="10250" customFormat="1" customHeight="1" ht="21">
      <c r="A146" s="4017"/>
      <c r="B146" s="4017"/>
      <c r="C146" s="4017"/>
      <c r="D146" s="4017"/>
      <c r="E146" s="4018"/>
      <c r="F146" s="4018"/>
      <c r="G146" s="4018"/>
      <c r="H146" s="4018"/>
      <c r="I146" s="4019"/>
      <c r="J146" s="4020" t="str">
        <f>I134&amp;".2"</f>
        <v>1.6.1.1.2</v>
      </c>
      <c r="K146" s="4017"/>
      <c r="L146" s="4021"/>
      <c r="M146" s="4022"/>
      <c r="N146" s="4022"/>
      <c r="O146" s="4022"/>
      <c r="P146" s="4023"/>
      <c r="Q146" s="4023"/>
      <c r="R146" s="4039"/>
      <c r="S146" s="4776"/>
      <c r="T146" s="4777" t="s">
        <v>611</v>
      </c>
      <c r="U146" s="4778"/>
      <c r="V146" s="4779"/>
      <c r="W146" s="4780"/>
      <c r="X146" s="4781"/>
      <c r="Y146" s="4782"/>
      <c r="Z146" s="4783"/>
      <c r="AA146" s="4784"/>
      <c r="AB146" s="4785"/>
      <c r="AC146" s="4786"/>
      <c r="AD146" s="4787"/>
      <c r="AE146" s="4788"/>
      <c r="AF146" s="4789"/>
      <c r="AG146" s="4790"/>
      <c r="AH146" s="4791"/>
      <c r="AI146" s="4792"/>
      <c r="AJ146" s="4793"/>
      <c r="AK146" s="4794"/>
      <c r="AL146" s="4795"/>
      <c r="AM146" s="4796"/>
      <c r="AN146" s="4797"/>
      <c r="AO146" s="4798"/>
      <c r="AP146" s="4799"/>
      <c r="AQ146" s="4800"/>
      <c r="AR146" s="4065" t="s">
        <v>612</v>
      </c>
      <c r="AS146" s="3983"/>
      <c r="AT146" s="4030"/>
      <c r="AU146" s="4030" t="str">
        <f>IF(T146="","",T146)</f>
        <v>Добавить значение признака дифференциации</v>
      </c>
      <c r="AV146" s="4030"/>
      <c r="AW146" s="4030"/>
      <c r="AX146" s="3916">
        <v>0</v>
      </c>
    </row>
    <row s="10276" customFormat="1" customHeight="1" ht="23.25">
      <c r="A147" s="4017"/>
      <c r="B147" s="4017"/>
      <c r="C147" s="4017"/>
      <c r="D147" s="4017"/>
      <c r="E147" s="4018"/>
      <c r="F147" s="4018"/>
      <c r="G147" s="4018"/>
      <c r="H147" s="4018"/>
      <c r="I147" s="4019"/>
      <c r="J147" s="4020" t="str">
        <f>I134&amp;".4"</f>
        <v>1.6.1.1.4</v>
      </c>
      <c r="K147" s="4017"/>
      <c r="L147" s="4021" t="s">
        <v>534</v>
      </c>
      <c r="M147" s="4022"/>
      <c r="N147" s="4022"/>
      <c r="O147" s="4022"/>
      <c r="P147" s="4023"/>
      <c r="Q147" s="4024" t="s">
        <v>105</v>
      </c>
      <c r="R147" s="4025"/>
      <c r="S147" s="4026" t="str">
        <f>$J147</f>
        <v>1.6.1.1.4</v>
      </c>
      <c r="T147" s="4027" t="s">
        <v>535</v>
      </c>
      <c r="U147" s="4028"/>
      <c r="V147" s="3932"/>
      <c r="W147" s="3933"/>
      <c r="X147" s="3933"/>
      <c r="Y147" s="3933"/>
      <c r="Z147" s="3933"/>
      <c r="AA147" s="3933"/>
      <c r="AB147" s="3934"/>
      <c r="AC147" s="3932" t="s">
        <v>623</v>
      </c>
      <c r="AD147" s="3933"/>
      <c r="AE147" s="3933"/>
      <c r="AF147" s="3933"/>
      <c r="AG147" s="3933"/>
      <c r="AH147" s="3933"/>
      <c r="AI147" s="3933"/>
      <c r="AJ147" s="3932"/>
      <c r="AK147" s="3933"/>
      <c r="AL147" s="3933"/>
      <c r="AM147" s="3933"/>
      <c r="AN147" s="3933"/>
      <c r="AO147" s="3933"/>
      <c r="AP147" s="3934"/>
      <c r="AQ147" s="3934"/>
      <c r="AR147" s="4029" t="s">
        <v>610</v>
      </c>
      <c r="AS147" s="3983"/>
      <c r="AT147" s="4030"/>
      <c r="AU147" s="4030" t="str">
        <f>IF(T147="","",T147)</f>
        <v>Группа потребителей</v>
      </c>
      <c r="AV147" s="4030"/>
      <c r="AW147" s="4030"/>
      <c r="AX147" s="3916">
        <v>0</v>
      </c>
    </row>
    <row s="10277" customFormat="1" customHeight="1" ht="23.25">
      <c r="A148" s="4017"/>
      <c r="B148" s="4017"/>
      <c r="C148" s="4017"/>
      <c r="D148" s="4017"/>
      <c r="E148" s="4018"/>
      <c r="F148" s="4018"/>
      <c r="G148" s="4018"/>
      <c r="H148" s="4018"/>
      <c r="I148" s="4019"/>
      <c r="J148" s="4019" t="str">
        <f>I134&amp;".3"</f>
        <v>1.6.1.1.3</v>
      </c>
      <c r="K148" s="4020" t="str">
        <f>J147&amp;".1"</f>
        <v>1.6.1.1.4.1</v>
      </c>
      <c r="L148" s="4021"/>
      <c r="M148" s="4022"/>
      <c r="N148" s="4022"/>
      <c r="O148" s="4022"/>
      <c r="P148" s="4023"/>
      <c r="Q148" s="4023"/>
      <c r="R148" s="4025">
        <v>1</v>
      </c>
      <c r="S148" s="4026" t="str">
        <f>$K148</f>
        <v>1.6.1.1.4.1</v>
      </c>
      <c r="T148" s="4032" t="s">
        <v>624</v>
      </c>
      <c r="U148" s="4028"/>
      <c r="V148" s="3936"/>
      <c r="W148" s="3936"/>
      <c r="X148" s="3937"/>
      <c r="Y148" s="3938"/>
      <c r="Z148" s="3939" t="s">
        <v>66</v>
      </c>
      <c r="AA148" s="3938"/>
      <c r="AB148" s="3939" t="s">
        <v>66</v>
      </c>
      <c r="AC148" s="3936">
        <v>30.82</v>
      </c>
      <c r="AD148" s="3936"/>
      <c r="AE148" s="3937"/>
      <c r="AF148" s="3938">
        <v>45658</v>
      </c>
      <c r="AG148" s="3939" t="s">
        <v>66</v>
      </c>
      <c r="AH148" s="4006">
        <v>45838</v>
      </c>
      <c r="AI148" s="3939" t="s">
        <v>66</v>
      </c>
      <c r="AJ148" s="3936">
        <v>32.67</v>
      </c>
      <c r="AK148" s="3936"/>
      <c r="AL148" s="3937"/>
      <c r="AM148" s="3938">
        <v>45839</v>
      </c>
      <c r="AN148" s="3939" t="s">
        <v>66</v>
      </c>
      <c r="AO148" s="3938">
        <v>46022</v>
      </c>
      <c r="AP148" s="3939" t="s">
        <v>66</v>
      </c>
      <c r="AQ148" s="4033"/>
      <c r="AR148" s="4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148" s="3983">
        <f>STRCHECKDATE(V149:AQ149)</f>
      </c>
      <c r="AT148" s="4030"/>
      <c r="AU148" s="4030" t="str">
        <f>IF(T148="","",T148)</f>
        <v>на цели приготовления горячей воды населению для АО "Газспецресурс"</v>
      </c>
      <c r="AV148" s="4030"/>
      <c r="AW148" s="4030"/>
      <c r="AX148" s="3916">
        <v>0</v>
      </c>
    </row>
    <row s="10278" customFormat="1" customHeight="1" ht="14.25">
      <c r="A149" s="4017"/>
      <c r="B149" s="4017"/>
      <c r="C149" s="4017"/>
      <c r="D149" s="4017"/>
      <c r="E149" s="4018"/>
      <c r="F149" s="4018"/>
      <c r="G149" s="4018"/>
      <c r="H149" s="4018"/>
      <c r="I149" s="4019"/>
      <c r="J149" s="4019" t="str">
        <f>I134&amp;".3"</f>
        <v>1.6.1.1.3</v>
      </c>
      <c r="K149" s="4020"/>
      <c r="L149" s="4021"/>
      <c r="M149" s="4022"/>
      <c r="N149" s="4022"/>
      <c r="O149" s="4022"/>
      <c r="P149" s="4023"/>
      <c r="Q149" s="4023"/>
      <c r="R149" s="4025"/>
      <c r="S149" s="4036"/>
      <c r="T149" s="4028"/>
      <c r="U149" s="4028"/>
      <c r="V149" s="3943"/>
      <c r="W149" s="3943"/>
      <c r="X149" s="3944" t="str">
        <f>Y148&amp;"-"&amp;AA148</f>
        <v>-</v>
      </c>
      <c r="Y149" s="3945"/>
      <c r="Z149" s="3939"/>
      <c r="AA149" s="3945"/>
      <c r="AB149" s="3939"/>
      <c r="AC149" s="3943"/>
      <c r="AD149" s="3943"/>
      <c r="AE149" s="3944" t="str">
        <f>AF148&amp;"-"&amp;AH148</f>
        <v>45658-45838</v>
      </c>
      <c r="AF149" s="3945"/>
      <c r="AG149" s="3939"/>
      <c r="AH149" s="4008"/>
      <c r="AI149" s="3939"/>
      <c r="AJ149" s="3943"/>
      <c r="AK149" s="3943"/>
      <c r="AL149" s="3944" t="str">
        <f>AM148&amp;"-"&amp;AO148</f>
        <v>45839-46022</v>
      </c>
      <c r="AM149" s="3945"/>
      <c r="AN149" s="3939"/>
      <c r="AO149" s="3945"/>
      <c r="AP149" s="3939"/>
      <c r="AQ149" s="4037"/>
      <c r="AR149" s="4034"/>
      <c r="AS149" s="3983"/>
      <c r="AT149" s="4030"/>
      <c r="AU149" s="4030" t="str">
        <f>IF(T149="","",T149)</f>
        <v/>
      </c>
      <c r="AV149" s="4030"/>
      <c r="AW149" s="4030"/>
      <c r="AX149" s="3916">
        <v>0</v>
      </c>
    </row>
    <row s="10279" customFormat="1" customHeight="1" ht="21">
      <c r="A150" s="4017"/>
      <c r="B150" s="4017"/>
      <c r="C150" s="4017"/>
      <c r="D150" s="4017"/>
      <c r="E150" s="4018"/>
      <c r="F150" s="4018"/>
      <c r="G150" s="4018"/>
      <c r="H150" s="4018"/>
      <c r="I150" s="4019"/>
      <c r="J150" s="4020" t="str">
        <f>I134&amp;".3"</f>
        <v>1.6.1.1.3</v>
      </c>
      <c r="K150" s="4017"/>
      <c r="L150" s="4021"/>
      <c r="M150" s="4022"/>
      <c r="N150" s="4022"/>
      <c r="O150" s="4022"/>
      <c r="P150" s="4023"/>
      <c r="Q150" s="4023"/>
      <c r="R150" s="4039"/>
      <c r="S150" s="4805"/>
      <c r="T150" s="4806" t="s">
        <v>611</v>
      </c>
      <c r="U150" s="4807"/>
      <c r="V150" s="4808"/>
      <c r="W150" s="4809"/>
      <c r="X150" s="4810"/>
      <c r="Y150" s="4811"/>
      <c r="Z150" s="4812"/>
      <c r="AA150" s="4813"/>
      <c r="AB150" s="4814"/>
      <c r="AC150" s="4815"/>
      <c r="AD150" s="4816"/>
      <c r="AE150" s="4817"/>
      <c r="AF150" s="4818"/>
      <c r="AG150" s="4819"/>
      <c r="AH150" s="4820"/>
      <c r="AI150" s="4821"/>
      <c r="AJ150" s="4822"/>
      <c r="AK150" s="4823"/>
      <c r="AL150" s="4824"/>
      <c r="AM150" s="4825"/>
      <c r="AN150" s="4826"/>
      <c r="AO150" s="4827"/>
      <c r="AP150" s="4828"/>
      <c r="AQ150" s="4829"/>
      <c r="AR150" s="4065" t="s">
        <v>612</v>
      </c>
      <c r="AS150" s="3983"/>
      <c r="AT150" s="4030"/>
      <c r="AU150" s="4030" t="str">
        <f>IF(T150="","",T150)</f>
        <v>Добавить значение признака дифференциации</v>
      </c>
      <c r="AV150" s="4030"/>
      <c r="AW150" s="4030"/>
      <c r="AX150" s="3916">
        <v>0</v>
      </c>
    </row>
    <row s="10305" customFormat="1" customHeight="1" ht="21">
      <c r="A151" s="4017"/>
      <c r="B151" s="4017"/>
      <c r="C151" s="4017"/>
      <c r="D151" s="4017"/>
      <c r="E151" s="4018"/>
      <c r="F151" s="4018" t="s">
        <v>118</v>
      </c>
      <c r="G151" s="4018"/>
      <c r="H151" s="4018"/>
      <c r="I151" s="4020"/>
      <c r="J151" s="4017"/>
      <c r="K151" s="4017"/>
      <c r="L151" s="4021"/>
      <c r="M151" s="4022"/>
      <c r="N151" s="4022"/>
      <c r="O151" s="4022"/>
      <c r="P151" s="4023"/>
      <c r="Q151" s="4023"/>
      <c r="R151" s="4039"/>
      <c r="S151" s="4831"/>
      <c r="T151" s="4832" t="s">
        <v>540</v>
      </c>
      <c r="U151" s="4833"/>
      <c r="V151" s="4834"/>
      <c r="W151" s="4835"/>
      <c r="X151" s="4836"/>
      <c r="Y151" s="4837"/>
      <c r="Z151" s="4838"/>
      <c r="AA151" s="4839"/>
      <c r="AB151" s="4840"/>
      <c r="AC151" s="4841"/>
      <c r="AD151" s="4842"/>
      <c r="AE151" s="4843"/>
      <c r="AF151" s="4844"/>
      <c r="AG151" s="4845"/>
      <c r="AH151" s="4846"/>
      <c r="AI151" s="4847"/>
      <c r="AJ151" s="4848"/>
      <c r="AK151" s="4849"/>
      <c r="AL151" s="4850"/>
      <c r="AM151" s="4851"/>
      <c r="AN151" s="4852"/>
      <c r="AO151" s="4853"/>
      <c r="AP151" s="4854"/>
      <c r="AQ151" s="4855"/>
      <c r="AR151" s="4856"/>
      <c r="AS151" s="3983"/>
      <c r="AT151" s="4030"/>
      <c r="AU151" s="4030" t="str">
        <f>IF(T151="","",T151)</f>
        <v>Добавить группу потребителей</v>
      </c>
      <c r="AV151" s="4030"/>
      <c r="AW151" s="4030"/>
      <c r="AX151" s="3916">
        <v>0</v>
      </c>
    </row>
    <row s="10332" customFormat="1" customHeight="1" ht="14.25">
      <c r="A152" s="4017"/>
      <c r="B152" s="4017"/>
      <c r="C152" s="4017"/>
      <c r="D152" s="4017"/>
      <c r="E152" s="4018"/>
      <c r="F152" s="4018" t="s">
        <v>118</v>
      </c>
      <c r="G152" s="4018"/>
      <c r="H152" s="4110"/>
      <c r="I152" s="4017"/>
      <c r="J152" s="4017"/>
      <c r="K152" s="4017"/>
      <c r="L152" s="4021"/>
      <c r="M152" s="4111"/>
      <c r="N152" s="4111"/>
      <c r="O152" s="3973"/>
      <c r="P152" s="4239"/>
      <c r="Q152" s="4240"/>
      <c r="R152" s="4241"/>
      <c r="S152" s="4858"/>
      <c r="T152" s="4859" t="s">
        <v>613</v>
      </c>
      <c r="U152" s="4860"/>
      <c r="V152" s="4861"/>
      <c r="W152" s="4862"/>
      <c r="X152" s="4863"/>
      <c r="Y152" s="4864"/>
      <c r="Z152" s="4865"/>
      <c r="AA152" s="4866"/>
      <c r="AB152" s="4867"/>
      <c r="AC152" s="4868"/>
      <c r="AD152" s="4869"/>
      <c r="AE152" s="4870"/>
      <c r="AF152" s="4871"/>
      <c r="AG152" s="4872"/>
      <c r="AH152" s="4873"/>
      <c r="AI152" s="4874"/>
      <c r="AJ152" s="4875"/>
      <c r="AK152" s="4876"/>
      <c r="AL152" s="4877"/>
      <c r="AM152" s="4878"/>
      <c r="AN152" s="4879"/>
      <c r="AO152" s="4880"/>
      <c r="AP152" s="4881"/>
      <c r="AQ152" s="4882"/>
      <c r="AR152" s="4883"/>
      <c r="AS152" s="3983"/>
      <c r="AT152" s="4030"/>
      <c r="AU152" s="4030" t="str">
        <f>IF(T152="","",T152)</f>
        <v>Добавить наименование признака дифференциации</v>
      </c>
      <c r="AV152" s="4030"/>
      <c r="AW152" s="4030"/>
      <c r="AX152" s="3916">
        <v>0</v>
      </c>
    </row>
    <row s="10359" customFormat="1" customHeight="1" ht="23.25">
      <c r="A153" s="4017"/>
      <c r="B153" s="4017"/>
      <c r="C153" s="4017" t="s">
        <v>316</v>
      </c>
      <c r="D153" s="4017"/>
      <c r="E153" s="4018"/>
      <c r="F153" s="4018"/>
      <c r="G153" s="4110" t="s">
        <v>104</v>
      </c>
      <c r="H153" s="4017"/>
      <c r="I153" s="4017"/>
      <c r="J153" s="4017"/>
      <c r="K153" s="4017"/>
      <c r="L153" s="4021"/>
      <c r="M153" s="4111"/>
      <c r="N153" s="4111"/>
      <c r="O153" s="4111"/>
      <c r="P153" s="4117"/>
      <c r="Q153" s="4113"/>
      <c r="R153" s="4114"/>
      <c r="S153" s="4026" t="str">
        <f>INDEX(PT_DIFFERENTIATION_NUM_CS,MATCH(C153,PT_DIFFERENTIATION_CS_ID,0))</f>
        <v>1.6.2</v>
      </c>
      <c r="T153" s="4118" t="s">
        <v>606</v>
      </c>
      <c r="U153" s="4028"/>
      <c r="V153" s="3918"/>
      <c r="W153" s="3919"/>
      <c r="X153" s="3919"/>
      <c r="Y153" s="3919"/>
      <c r="Z153" s="3919"/>
      <c r="AA153" s="3919"/>
      <c r="AB153" s="3920"/>
      <c r="AC153" s="3918" t="str">
        <f>INDEX(PT_DIFFERENTIATION_CS,MATCH(C153,PT_DIFFERENTIATION_CS_ID,0))</f>
        <v>кроме п. им. Маршала Жукова</v>
      </c>
      <c r="AD153" s="3919"/>
      <c r="AE153" s="3919"/>
      <c r="AF153" s="3919"/>
      <c r="AG153" s="3919"/>
      <c r="AH153" s="3919"/>
      <c r="AI153" s="3919"/>
      <c r="AJ153" s="3918"/>
      <c r="AK153" s="3919"/>
      <c r="AL153" s="3919"/>
      <c r="AM153" s="3919"/>
      <c r="AN153" s="3919"/>
      <c r="AO153" s="3919"/>
      <c r="AP153" s="3920"/>
      <c r="AQ153" s="3920"/>
      <c r="AR153" s="4065" t="s">
        <v>607</v>
      </c>
      <c r="AS153" s="3983"/>
      <c r="AT153" s="4030"/>
      <c r="AU153" s="4030" t="str">
        <f>IF(T153="","",T153)</f>
        <v>Наименование централизованной системы холодного водоснабжения</v>
      </c>
      <c r="AV153" s="4030"/>
      <c r="AW153" s="4030"/>
      <c r="AX153" s="3916">
        <v>0</v>
      </c>
    </row>
    <row s="10360" customFormat="1" customHeight="1" ht="23.25">
      <c r="A154" s="4017"/>
      <c r="B154" s="4017"/>
      <c r="C154" s="4017"/>
      <c r="D154" s="4017"/>
      <c r="E154" s="4018"/>
      <c r="F154" s="4018"/>
      <c r="G154" s="4018">
        <v>1</v>
      </c>
      <c r="H154" s="4018"/>
      <c r="I154" s="4020" t="str">
        <f>S153&amp;".1"</f>
        <v>1.6.2.1</v>
      </c>
      <c r="J154" s="4017"/>
      <c r="K154" s="4017"/>
      <c r="L154" s="4021"/>
      <c r="M154" s="4022"/>
      <c r="N154" s="4022"/>
      <c r="O154" s="4022"/>
      <c r="P154" s="4023">
        <v>1</v>
      </c>
      <c r="Q154" s="4023"/>
      <c r="R154" s="4039"/>
      <c r="S154" s="4026" t="str">
        <f>$I154</f>
        <v>1.6.2.1</v>
      </c>
      <c r="T154" s="4120" t="s">
        <v>608</v>
      </c>
      <c r="U154" s="4028"/>
      <c r="V154" s="3928"/>
      <c r="W154" s="3929"/>
      <c r="X154" s="3929"/>
      <c r="Y154" s="3929"/>
      <c r="Z154" s="3929"/>
      <c r="AA154" s="3929"/>
      <c r="AB154" s="3930"/>
      <c r="AC154" s="4121"/>
      <c r="AD154" s="4122"/>
      <c r="AE154" s="4122"/>
      <c r="AF154" s="4122"/>
      <c r="AG154" s="4122"/>
      <c r="AH154" s="4122"/>
      <c r="AI154" s="4122"/>
      <c r="AJ154" s="3928"/>
      <c r="AK154" s="3929"/>
      <c r="AL154" s="3929"/>
      <c r="AM154" s="3929"/>
      <c r="AN154" s="3929"/>
      <c r="AO154" s="3929"/>
      <c r="AP154" s="3930"/>
      <c r="AQ154" s="4123"/>
      <c r="AR154" s="4065" t="s">
        <v>609</v>
      </c>
      <c r="AS154" s="3983"/>
      <c r="AT154" s="4030"/>
      <c r="AU154" s="4030" t="str">
        <f>IF(T154="","",T154)</f>
        <v>Наименование признака дифференциации</v>
      </c>
      <c r="AV154" s="4030"/>
      <c r="AW154" s="4030"/>
      <c r="AX154" s="3916">
        <v>0</v>
      </c>
    </row>
    <row s="10361" customFormat="1" customHeight="1" ht="23.25">
      <c r="A155" s="4017"/>
      <c r="B155" s="4017"/>
      <c r="C155" s="4017"/>
      <c r="D155" s="4017"/>
      <c r="E155" s="4018"/>
      <c r="F155" s="4018"/>
      <c r="G155" s="4018">
        <v>1</v>
      </c>
      <c r="H155" s="4018"/>
      <c r="I155" s="4019"/>
      <c r="J155" s="4020" t="str">
        <f>I154&amp;".1"</f>
        <v>1.6.2.1.1</v>
      </c>
      <c r="K155" s="4017"/>
      <c r="L155" s="4021" t="s">
        <v>534</v>
      </c>
      <c r="M155" s="4022"/>
      <c r="N155" s="4022"/>
      <c r="O155" s="4022"/>
      <c r="P155" s="4023"/>
      <c r="Q155" s="4023">
        <v>1</v>
      </c>
      <c r="R155" s="4025"/>
      <c r="S155" s="4026" t="str">
        <f>$J155</f>
        <v>1.6.2.1.1</v>
      </c>
      <c r="T155" s="4027" t="s">
        <v>535</v>
      </c>
      <c r="U155" s="4028"/>
      <c r="V155" s="3932"/>
      <c r="W155" s="3933"/>
      <c r="X155" s="3933"/>
      <c r="Y155" s="3933"/>
      <c r="Z155" s="3933"/>
      <c r="AA155" s="3933"/>
      <c r="AB155" s="3934"/>
      <c r="AC155" s="3932" t="s">
        <v>621</v>
      </c>
      <c r="AD155" s="3933"/>
      <c r="AE155" s="3933"/>
      <c r="AF155" s="3933"/>
      <c r="AG155" s="3933"/>
      <c r="AH155" s="3933"/>
      <c r="AI155" s="3933"/>
      <c r="AJ155" s="3932"/>
      <c r="AK155" s="3933"/>
      <c r="AL155" s="3933"/>
      <c r="AM155" s="3933"/>
      <c r="AN155" s="3933"/>
      <c r="AO155" s="3933"/>
      <c r="AP155" s="3934"/>
      <c r="AQ155" s="3934"/>
      <c r="AR155" s="4029" t="s">
        <v>610</v>
      </c>
      <c r="AS155" s="3983"/>
      <c r="AT155" s="4030"/>
      <c r="AU155" s="4030" t="str">
        <f>IF(T155="","",T155)</f>
        <v>Группа потребителей</v>
      </c>
      <c r="AV155" s="4030"/>
      <c r="AW155" s="4030"/>
      <c r="AX155" s="3916">
        <v>0</v>
      </c>
    </row>
    <row s="10362" customFormat="1" customHeight="1" ht="23.25">
      <c r="A156" s="4017"/>
      <c r="B156" s="4017"/>
      <c r="C156" s="4017"/>
      <c r="D156" s="4017"/>
      <c r="E156" s="4018"/>
      <c r="F156" s="4018"/>
      <c r="G156" s="4018">
        <v>1</v>
      </c>
      <c r="H156" s="4018"/>
      <c r="I156" s="4019"/>
      <c r="J156" s="4019"/>
      <c r="K156" s="4020" t="str">
        <f>J155&amp;".1"</f>
        <v>1.6.2.1.1.1</v>
      </c>
      <c r="L156" s="4021"/>
      <c r="M156" s="4022"/>
      <c r="N156" s="4022"/>
      <c r="O156" s="4022"/>
      <c r="P156" s="4023"/>
      <c r="Q156" s="4023"/>
      <c r="R156" s="4025">
        <v>1</v>
      </c>
      <c r="S156" s="4026" t="str">
        <f>$K156</f>
        <v>1.6.2.1.1.1</v>
      </c>
      <c r="T156" s="4032"/>
      <c r="U156" s="4028"/>
      <c r="V156" s="3936"/>
      <c r="W156" s="3936"/>
      <c r="X156" s="3937"/>
      <c r="Y156" s="3938"/>
      <c r="Z156" s="3939" t="s">
        <v>66</v>
      </c>
      <c r="AA156" s="3938"/>
      <c r="AB156" s="3939" t="s">
        <v>66</v>
      </c>
      <c r="AC156" s="3936">
        <v>74.15</v>
      </c>
      <c r="AD156" s="3936"/>
      <c r="AE156" s="3937"/>
      <c r="AF156" s="3938">
        <v>45658</v>
      </c>
      <c r="AG156" s="3939" t="s">
        <v>66</v>
      </c>
      <c r="AH156" s="4006">
        <v>45838</v>
      </c>
      <c r="AI156" s="3939" t="s">
        <v>66</v>
      </c>
      <c r="AJ156" s="3936">
        <v>80.08</v>
      </c>
      <c r="AK156" s="3936"/>
      <c r="AL156" s="3937"/>
      <c r="AM156" s="3938">
        <v>45839</v>
      </c>
      <c r="AN156" s="3939" t="s">
        <v>66</v>
      </c>
      <c r="AO156" s="3938">
        <v>46022</v>
      </c>
      <c r="AP156" s="3939" t="s">
        <v>66</v>
      </c>
      <c r="AQ156" s="4033"/>
      <c r="AR156" s="4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156" s="3983">
        <f>STRCHECKDATE(V157:AQ157)</f>
      </c>
      <c r="AT156" s="4030"/>
      <c r="AU156" s="4030" t="str">
        <f>IF(T156="","",T156)</f>
        <v/>
      </c>
      <c r="AV156" s="4030"/>
      <c r="AW156" s="4030"/>
      <c r="AX156" s="3916">
        <v>0</v>
      </c>
    </row>
    <row s="10363" customFormat="1" customHeight="1" ht="14.25">
      <c r="A157" s="4017"/>
      <c r="B157" s="4017"/>
      <c r="C157" s="4017"/>
      <c r="D157" s="4017"/>
      <c r="E157" s="4018"/>
      <c r="F157" s="4018"/>
      <c r="G157" s="4018">
        <v>1</v>
      </c>
      <c r="H157" s="4018"/>
      <c r="I157" s="4019"/>
      <c r="J157" s="4019"/>
      <c r="K157" s="4020"/>
      <c r="L157" s="4021"/>
      <c r="M157" s="4022"/>
      <c r="N157" s="4022"/>
      <c r="O157" s="4022"/>
      <c r="P157" s="4023"/>
      <c r="Q157" s="4023"/>
      <c r="R157" s="4025"/>
      <c r="S157" s="4036"/>
      <c r="T157" s="4028"/>
      <c r="U157" s="4028"/>
      <c r="V157" s="3943"/>
      <c r="W157" s="3943"/>
      <c r="X157" s="3944" t="str">
        <f>Y156&amp;"-"&amp;AA156</f>
        <v>-</v>
      </c>
      <c r="Y157" s="3945"/>
      <c r="Z157" s="3939"/>
      <c r="AA157" s="3945"/>
      <c r="AB157" s="3939"/>
      <c r="AC157" s="3943"/>
      <c r="AD157" s="3943"/>
      <c r="AE157" s="3944" t="str">
        <f>AF156&amp;"-"&amp;AH156</f>
        <v>45658-45838</v>
      </c>
      <c r="AF157" s="3945"/>
      <c r="AG157" s="3939"/>
      <c r="AH157" s="4008"/>
      <c r="AI157" s="3939"/>
      <c r="AJ157" s="3943"/>
      <c r="AK157" s="3943"/>
      <c r="AL157" s="3944" t="str">
        <f>AM156&amp;"-"&amp;AO156</f>
        <v>45839-46022</v>
      </c>
      <c r="AM157" s="3945"/>
      <c r="AN157" s="3939"/>
      <c r="AO157" s="3945"/>
      <c r="AP157" s="3939"/>
      <c r="AQ157" s="4037"/>
      <c r="AR157" s="4034"/>
      <c r="AS157" s="3983"/>
      <c r="AT157" s="4030"/>
      <c r="AU157" s="4030" t="str">
        <f>IF(T157="","",T157)</f>
        <v/>
      </c>
      <c r="AV157" s="4030"/>
      <c r="AW157" s="4030"/>
      <c r="AX157" s="3916">
        <v>0</v>
      </c>
    </row>
    <row s="10364" customFormat="1" customHeight="1" ht="21">
      <c r="A158" s="4017"/>
      <c r="B158" s="4017"/>
      <c r="C158" s="4017"/>
      <c r="D158" s="4017"/>
      <c r="E158" s="4018"/>
      <c r="F158" s="4018"/>
      <c r="G158" s="4018">
        <v>1</v>
      </c>
      <c r="H158" s="4018"/>
      <c r="I158" s="4019"/>
      <c r="J158" s="4020"/>
      <c r="K158" s="4017"/>
      <c r="L158" s="4021"/>
      <c r="M158" s="4022"/>
      <c r="N158" s="4022"/>
      <c r="O158" s="4022"/>
      <c r="P158" s="4023"/>
      <c r="Q158" s="4023"/>
      <c r="R158" s="4039"/>
      <c r="S158" s="4890"/>
      <c r="T158" s="4891" t="s">
        <v>611</v>
      </c>
      <c r="U158" s="4892"/>
      <c r="V158" s="4893"/>
      <c r="W158" s="4894"/>
      <c r="X158" s="4895"/>
      <c r="Y158" s="4896"/>
      <c r="Z158" s="4897"/>
      <c r="AA158" s="4898"/>
      <c r="AB158" s="4899"/>
      <c r="AC158" s="4900"/>
      <c r="AD158" s="4901"/>
      <c r="AE158" s="4902"/>
      <c r="AF158" s="4903"/>
      <c r="AG158" s="4904"/>
      <c r="AH158" s="4905"/>
      <c r="AI158" s="4906"/>
      <c r="AJ158" s="4907"/>
      <c r="AK158" s="4908"/>
      <c r="AL158" s="4909"/>
      <c r="AM158" s="4910"/>
      <c r="AN158" s="4911"/>
      <c r="AO158" s="4912"/>
      <c r="AP158" s="4913"/>
      <c r="AQ158" s="4914"/>
      <c r="AR158" s="4065" t="s">
        <v>612</v>
      </c>
      <c r="AS158" s="3983"/>
      <c r="AT158" s="4030"/>
      <c r="AU158" s="4030" t="str">
        <f>IF(T158="","",T158)</f>
        <v>Добавить значение признака дифференциации</v>
      </c>
      <c r="AV158" s="4030"/>
      <c r="AW158" s="4030"/>
      <c r="AX158" s="3916">
        <v>0</v>
      </c>
    </row>
    <row s="10390" customFormat="1" customHeight="1" ht="23.25">
      <c r="A159" s="4017"/>
      <c r="B159" s="4017"/>
      <c r="C159" s="4017"/>
      <c r="D159" s="4017"/>
      <c r="E159" s="4018"/>
      <c r="F159" s="4018"/>
      <c r="G159" s="4018"/>
      <c r="H159" s="4018"/>
      <c r="I159" s="4019"/>
      <c r="J159" s="4020" t="str">
        <f>I154&amp;".2"</f>
        <v>1.6.2.1.2</v>
      </c>
      <c r="K159" s="4017"/>
      <c r="L159" s="4021" t="s">
        <v>534</v>
      </c>
      <c r="M159" s="4022"/>
      <c r="N159" s="4022"/>
      <c r="O159" s="4022"/>
      <c r="P159" s="4023"/>
      <c r="Q159" s="4024" t="s">
        <v>105</v>
      </c>
      <c r="R159" s="4025"/>
      <c r="S159" s="4026" t="str">
        <f>$J159</f>
        <v>1.6.2.1.2</v>
      </c>
      <c r="T159" s="4027" t="s">
        <v>535</v>
      </c>
      <c r="U159" s="4028"/>
      <c r="V159" s="3932"/>
      <c r="W159" s="3933"/>
      <c r="X159" s="3933"/>
      <c r="Y159" s="3933"/>
      <c r="Z159" s="3933"/>
      <c r="AA159" s="3933"/>
      <c r="AB159" s="3934"/>
      <c r="AC159" s="3932" t="s">
        <v>622</v>
      </c>
      <c r="AD159" s="3933"/>
      <c r="AE159" s="3933"/>
      <c r="AF159" s="3933"/>
      <c r="AG159" s="3933"/>
      <c r="AH159" s="3933"/>
      <c r="AI159" s="3933"/>
      <c r="AJ159" s="3932"/>
      <c r="AK159" s="3933"/>
      <c r="AL159" s="3933"/>
      <c r="AM159" s="3933"/>
      <c r="AN159" s="3933"/>
      <c r="AO159" s="3933"/>
      <c r="AP159" s="3934"/>
      <c r="AQ159" s="3934"/>
      <c r="AR159" s="4029" t="s">
        <v>610</v>
      </c>
      <c r="AS159" s="3983"/>
      <c r="AT159" s="4030"/>
      <c r="AU159" s="4030" t="str">
        <f>IF(T159="","",T159)</f>
        <v>Группа потребителей</v>
      </c>
      <c r="AV159" s="4030"/>
      <c r="AW159" s="4030"/>
      <c r="AX159" s="3916">
        <v>0</v>
      </c>
    </row>
    <row s="10391" customFormat="1" customHeight="1" ht="23.25">
      <c r="A160" s="4017"/>
      <c r="B160" s="4017"/>
      <c r="C160" s="4017"/>
      <c r="D160" s="4017"/>
      <c r="E160" s="4018"/>
      <c r="F160" s="4018"/>
      <c r="G160" s="4018"/>
      <c r="H160" s="4018"/>
      <c r="I160" s="4019"/>
      <c r="J160" s="4019" t="str">
        <f>I154&amp;".1"</f>
        <v>1.6.2.1.1</v>
      </c>
      <c r="K160" s="4020" t="str">
        <f>J159&amp;".1"</f>
        <v>1.6.2.1.2.1</v>
      </c>
      <c r="L160" s="4021"/>
      <c r="M160" s="4022"/>
      <c r="N160" s="4022"/>
      <c r="O160" s="4022"/>
      <c r="P160" s="4023"/>
      <c r="Q160" s="4023"/>
      <c r="R160" s="4025">
        <v>1</v>
      </c>
      <c r="S160" s="4026" t="str">
        <f>$K160</f>
        <v>1.6.2.1.2.1</v>
      </c>
      <c r="T160" s="4032"/>
      <c r="U160" s="4028"/>
      <c r="V160" s="3936"/>
      <c r="W160" s="3936"/>
      <c r="X160" s="3937"/>
      <c r="Y160" s="3938"/>
      <c r="Z160" s="3939" t="s">
        <v>66</v>
      </c>
      <c r="AA160" s="3938"/>
      <c r="AB160" s="3939" t="s">
        <v>66</v>
      </c>
      <c r="AC160" s="3936">
        <v>70.62</v>
      </c>
      <c r="AD160" s="3936"/>
      <c r="AE160" s="3937"/>
      <c r="AF160" s="3938">
        <v>45658</v>
      </c>
      <c r="AG160" s="3939" t="s">
        <v>66</v>
      </c>
      <c r="AH160" s="4006">
        <v>45838</v>
      </c>
      <c r="AI160" s="3939" t="s">
        <v>66</v>
      </c>
      <c r="AJ160" s="3936">
        <v>100.97</v>
      </c>
      <c r="AK160" s="3936"/>
      <c r="AL160" s="3937"/>
      <c r="AM160" s="3938">
        <v>45839</v>
      </c>
      <c r="AN160" s="3939" t="s">
        <v>66</v>
      </c>
      <c r="AO160" s="3938">
        <v>46022</v>
      </c>
      <c r="AP160" s="3939" t="s">
        <v>66</v>
      </c>
      <c r="AQ160" s="4033"/>
      <c r="AR160" s="4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160" s="3983">
        <f>STRCHECKDATE(V161:AQ161)</f>
      </c>
      <c r="AT160" s="4030"/>
      <c r="AU160" s="4030" t="str">
        <f>IF(T160="","",T160)</f>
        <v/>
      </c>
      <c r="AV160" s="4030"/>
      <c r="AW160" s="4030"/>
      <c r="AX160" s="3916">
        <v>0</v>
      </c>
    </row>
    <row s="10392" customFormat="1" customHeight="1" ht="14.25">
      <c r="A161" s="4017"/>
      <c r="B161" s="4017"/>
      <c r="C161" s="4017"/>
      <c r="D161" s="4017"/>
      <c r="E161" s="4018"/>
      <c r="F161" s="4018"/>
      <c r="G161" s="4018"/>
      <c r="H161" s="4018"/>
      <c r="I161" s="4019"/>
      <c r="J161" s="4019" t="str">
        <f>I154&amp;".1"</f>
        <v>1.6.2.1.1</v>
      </c>
      <c r="K161" s="4020"/>
      <c r="L161" s="4021"/>
      <c r="M161" s="4022"/>
      <c r="N161" s="4022"/>
      <c r="O161" s="4022"/>
      <c r="P161" s="4023"/>
      <c r="Q161" s="4023"/>
      <c r="R161" s="4025"/>
      <c r="S161" s="4036"/>
      <c r="T161" s="4028"/>
      <c r="U161" s="4028"/>
      <c r="V161" s="3943"/>
      <c r="W161" s="3943"/>
      <c r="X161" s="3944" t="str">
        <f>Y160&amp;"-"&amp;AA160</f>
        <v>-</v>
      </c>
      <c r="Y161" s="3945"/>
      <c r="Z161" s="3939"/>
      <c r="AA161" s="3945"/>
      <c r="AB161" s="3939"/>
      <c r="AC161" s="3943"/>
      <c r="AD161" s="3943"/>
      <c r="AE161" s="3944" t="str">
        <f>AF160&amp;"-"&amp;AH160</f>
        <v>45658-45838</v>
      </c>
      <c r="AF161" s="3945"/>
      <c r="AG161" s="3939"/>
      <c r="AH161" s="4008"/>
      <c r="AI161" s="3939"/>
      <c r="AJ161" s="3943"/>
      <c r="AK161" s="3943"/>
      <c r="AL161" s="3944" t="str">
        <f>AM160&amp;"-"&amp;AO160</f>
        <v>45839-46022</v>
      </c>
      <c r="AM161" s="3945"/>
      <c r="AN161" s="3939"/>
      <c r="AO161" s="3945"/>
      <c r="AP161" s="3939"/>
      <c r="AQ161" s="4037"/>
      <c r="AR161" s="4034"/>
      <c r="AS161" s="3983"/>
      <c r="AT161" s="4030"/>
      <c r="AU161" s="4030" t="str">
        <f>IF(T161="","",T161)</f>
        <v/>
      </c>
      <c r="AV161" s="4030"/>
      <c r="AW161" s="4030"/>
      <c r="AX161" s="3916">
        <v>0</v>
      </c>
    </row>
    <row s="10393" customFormat="1" customHeight="1" ht="21">
      <c r="A162" s="4017"/>
      <c r="B162" s="4017"/>
      <c r="C162" s="4017"/>
      <c r="D162" s="4017"/>
      <c r="E162" s="4018"/>
      <c r="F162" s="4018"/>
      <c r="G162" s="4018"/>
      <c r="H162" s="4018"/>
      <c r="I162" s="4019"/>
      <c r="J162" s="4020" t="str">
        <f>I154&amp;".1"</f>
        <v>1.6.2.1.1</v>
      </c>
      <c r="K162" s="4017"/>
      <c r="L162" s="4021"/>
      <c r="M162" s="4022"/>
      <c r="N162" s="4022"/>
      <c r="O162" s="4022"/>
      <c r="P162" s="4023"/>
      <c r="Q162" s="4023"/>
      <c r="R162" s="4039"/>
      <c r="S162" s="4919"/>
      <c r="T162" s="4920" t="s">
        <v>611</v>
      </c>
      <c r="U162" s="4921"/>
      <c r="V162" s="4922"/>
      <c r="W162" s="4923"/>
      <c r="X162" s="4924"/>
      <c r="Y162" s="4925"/>
      <c r="Z162" s="4926"/>
      <c r="AA162" s="4927"/>
      <c r="AB162" s="4928"/>
      <c r="AC162" s="4929"/>
      <c r="AD162" s="4930"/>
      <c r="AE162" s="4931"/>
      <c r="AF162" s="4932"/>
      <c r="AG162" s="4933"/>
      <c r="AH162" s="4934"/>
      <c r="AI162" s="4935"/>
      <c r="AJ162" s="4936"/>
      <c r="AK162" s="4937"/>
      <c r="AL162" s="4938"/>
      <c r="AM162" s="4939"/>
      <c r="AN162" s="4940"/>
      <c r="AO162" s="4941"/>
      <c r="AP162" s="4942"/>
      <c r="AQ162" s="4943"/>
      <c r="AR162" s="4065" t="s">
        <v>612</v>
      </c>
      <c r="AS162" s="3983"/>
      <c r="AT162" s="4030"/>
      <c r="AU162" s="4030" t="str">
        <f>IF(T162="","",T162)</f>
        <v>Добавить значение признака дифференциации</v>
      </c>
      <c r="AV162" s="4030"/>
      <c r="AW162" s="4030"/>
      <c r="AX162" s="3916">
        <v>0</v>
      </c>
    </row>
    <row s="10419" customFormat="1" customHeight="1" ht="23.25">
      <c r="A163" s="4017"/>
      <c r="B163" s="4017"/>
      <c r="C163" s="4017"/>
      <c r="D163" s="4017"/>
      <c r="E163" s="4018"/>
      <c r="F163" s="4018"/>
      <c r="G163" s="4018"/>
      <c r="H163" s="4018"/>
      <c r="I163" s="4019"/>
      <c r="J163" s="4020" t="str">
        <f>I154&amp;".3"</f>
        <v>1.6.2.1.3</v>
      </c>
      <c r="K163" s="4017"/>
      <c r="L163" s="4021" t="s">
        <v>534</v>
      </c>
      <c r="M163" s="4022"/>
      <c r="N163" s="4022"/>
      <c r="O163" s="4022"/>
      <c r="P163" s="4023"/>
      <c r="Q163" s="4024" t="s">
        <v>105</v>
      </c>
      <c r="R163" s="4025"/>
      <c r="S163" s="4026" t="str">
        <f>$J163</f>
        <v>1.6.2.1.3</v>
      </c>
      <c r="T163" s="4027" t="s">
        <v>535</v>
      </c>
      <c r="U163" s="4028"/>
      <c r="V163" s="3932"/>
      <c r="W163" s="3933"/>
      <c r="X163" s="3933"/>
      <c r="Y163" s="3933"/>
      <c r="Z163" s="3933"/>
      <c r="AA163" s="3933"/>
      <c r="AB163" s="3934"/>
      <c r="AC163" s="3932" t="s">
        <v>623</v>
      </c>
      <c r="AD163" s="3933"/>
      <c r="AE163" s="3933"/>
      <c r="AF163" s="3933"/>
      <c r="AG163" s="3933"/>
      <c r="AH163" s="3933"/>
      <c r="AI163" s="3933"/>
      <c r="AJ163" s="3932"/>
      <c r="AK163" s="3933"/>
      <c r="AL163" s="3933"/>
      <c r="AM163" s="3933"/>
      <c r="AN163" s="3933"/>
      <c r="AO163" s="3933"/>
      <c r="AP163" s="3934"/>
      <c r="AQ163" s="3934"/>
      <c r="AR163" s="4029" t="s">
        <v>610</v>
      </c>
      <c r="AS163" s="3983"/>
      <c r="AT163" s="4030"/>
      <c r="AU163" s="4030" t="str">
        <f>IF(T163="","",T163)</f>
        <v>Группа потребителей</v>
      </c>
      <c r="AV163" s="4030"/>
      <c r="AW163" s="4030"/>
      <c r="AX163" s="3916">
        <v>0</v>
      </c>
    </row>
    <row s="10420" customFormat="1" customHeight="1" ht="23.25">
      <c r="A164" s="4017"/>
      <c r="B164" s="4017"/>
      <c r="C164" s="4017"/>
      <c r="D164" s="4017"/>
      <c r="E164" s="4018"/>
      <c r="F164" s="4018"/>
      <c r="G164" s="4018"/>
      <c r="H164" s="4018"/>
      <c r="I164" s="4019"/>
      <c r="J164" s="4019" t="str">
        <f>I154&amp;".2"</f>
        <v>1.6.2.1.2</v>
      </c>
      <c r="K164" s="4020" t="str">
        <f>J163&amp;".1"</f>
        <v>1.6.2.1.3.1</v>
      </c>
      <c r="L164" s="4021"/>
      <c r="M164" s="4022"/>
      <c r="N164" s="4022"/>
      <c r="O164" s="4022"/>
      <c r="P164" s="4023"/>
      <c r="Q164" s="4023"/>
      <c r="R164" s="4025">
        <v>1</v>
      </c>
      <c r="S164" s="4026" t="str">
        <f>$K164</f>
        <v>1.6.2.1.3.1</v>
      </c>
      <c r="T164" s="4032"/>
      <c r="U164" s="4028"/>
      <c r="V164" s="3936"/>
      <c r="W164" s="3936"/>
      <c r="X164" s="3937"/>
      <c r="Y164" s="3938"/>
      <c r="Z164" s="3939" t="s">
        <v>66</v>
      </c>
      <c r="AA164" s="3938"/>
      <c r="AB164" s="3939" t="s">
        <v>66</v>
      </c>
      <c r="AC164" s="3936">
        <v>70.62</v>
      </c>
      <c r="AD164" s="3936"/>
      <c r="AE164" s="3937"/>
      <c r="AF164" s="3938">
        <v>45658</v>
      </c>
      <c r="AG164" s="3939" t="s">
        <v>66</v>
      </c>
      <c r="AH164" s="4006">
        <v>45838</v>
      </c>
      <c r="AI164" s="3939" t="s">
        <v>66</v>
      </c>
      <c r="AJ164" s="3936">
        <v>100.97</v>
      </c>
      <c r="AK164" s="3936"/>
      <c r="AL164" s="3937"/>
      <c r="AM164" s="3938">
        <v>45839</v>
      </c>
      <c r="AN164" s="3939" t="s">
        <v>66</v>
      </c>
      <c r="AO164" s="3938">
        <v>46022</v>
      </c>
      <c r="AP164" s="3939" t="s">
        <v>66</v>
      </c>
      <c r="AQ164" s="4033"/>
      <c r="AR164" s="4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164" s="3983">
        <f>STRCHECKDATE(V165:AQ165)</f>
      </c>
      <c r="AT164" s="4030"/>
      <c r="AU164" s="4030" t="str">
        <f>IF(T164="","",T164)</f>
        <v/>
      </c>
      <c r="AV164" s="4030"/>
      <c r="AW164" s="4030"/>
      <c r="AX164" s="3916">
        <v>0</v>
      </c>
    </row>
    <row s="10421" customFormat="1" customHeight="1" ht="14.25">
      <c r="A165" s="4017"/>
      <c r="B165" s="4017"/>
      <c r="C165" s="4017"/>
      <c r="D165" s="4017"/>
      <c r="E165" s="4018"/>
      <c r="F165" s="4018"/>
      <c r="G165" s="4018"/>
      <c r="H165" s="4018"/>
      <c r="I165" s="4019"/>
      <c r="J165" s="4019" t="str">
        <f>I154&amp;".2"</f>
        <v>1.6.2.1.2</v>
      </c>
      <c r="K165" s="4020"/>
      <c r="L165" s="4021"/>
      <c r="M165" s="4022"/>
      <c r="N165" s="4022"/>
      <c r="O165" s="4022"/>
      <c r="P165" s="4023"/>
      <c r="Q165" s="4023"/>
      <c r="R165" s="4025"/>
      <c r="S165" s="4036"/>
      <c r="T165" s="4028"/>
      <c r="U165" s="4028"/>
      <c r="V165" s="3943"/>
      <c r="W165" s="3943"/>
      <c r="X165" s="3944" t="str">
        <f>Y164&amp;"-"&amp;AA164</f>
        <v>-</v>
      </c>
      <c r="Y165" s="3945"/>
      <c r="Z165" s="3939"/>
      <c r="AA165" s="3945"/>
      <c r="AB165" s="3939"/>
      <c r="AC165" s="3943"/>
      <c r="AD165" s="3943"/>
      <c r="AE165" s="3944" t="str">
        <f>AF164&amp;"-"&amp;AH164</f>
        <v>45658-45838</v>
      </c>
      <c r="AF165" s="3945"/>
      <c r="AG165" s="3939"/>
      <c r="AH165" s="4008"/>
      <c r="AI165" s="3939"/>
      <c r="AJ165" s="3943"/>
      <c r="AK165" s="3943"/>
      <c r="AL165" s="3944" t="str">
        <f>AM164&amp;"-"&amp;AO164</f>
        <v>45839-46022</v>
      </c>
      <c r="AM165" s="3945"/>
      <c r="AN165" s="3939"/>
      <c r="AO165" s="3945"/>
      <c r="AP165" s="3939"/>
      <c r="AQ165" s="4037"/>
      <c r="AR165" s="4034"/>
      <c r="AS165" s="3983"/>
      <c r="AT165" s="4030"/>
      <c r="AU165" s="4030" t="str">
        <f>IF(T165="","",T165)</f>
        <v/>
      </c>
      <c r="AV165" s="4030"/>
      <c r="AW165" s="4030"/>
      <c r="AX165" s="3916">
        <v>0</v>
      </c>
    </row>
    <row s="10422" customFormat="1" customHeight="1" ht="21">
      <c r="A166" s="4017"/>
      <c r="B166" s="4017"/>
      <c r="C166" s="4017"/>
      <c r="D166" s="4017"/>
      <c r="E166" s="4018"/>
      <c r="F166" s="4018"/>
      <c r="G166" s="4018"/>
      <c r="H166" s="4018"/>
      <c r="I166" s="4019"/>
      <c r="J166" s="4020" t="str">
        <f>I154&amp;".2"</f>
        <v>1.6.2.1.2</v>
      </c>
      <c r="K166" s="4017"/>
      <c r="L166" s="4021"/>
      <c r="M166" s="4022"/>
      <c r="N166" s="4022"/>
      <c r="O166" s="4022"/>
      <c r="P166" s="4023"/>
      <c r="Q166" s="4023"/>
      <c r="R166" s="4039"/>
      <c r="S166" s="4948"/>
      <c r="T166" s="4949" t="s">
        <v>611</v>
      </c>
      <c r="U166" s="4950"/>
      <c r="V166" s="4951"/>
      <c r="W166" s="4952"/>
      <c r="X166" s="4953"/>
      <c r="Y166" s="4954"/>
      <c r="Z166" s="4955"/>
      <c r="AA166" s="4956"/>
      <c r="AB166" s="4957"/>
      <c r="AC166" s="4958"/>
      <c r="AD166" s="4959"/>
      <c r="AE166" s="4960"/>
      <c r="AF166" s="4961"/>
      <c r="AG166" s="4962"/>
      <c r="AH166" s="4963"/>
      <c r="AI166" s="4964"/>
      <c r="AJ166" s="4965"/>
      <c r="AK166" s="4966"/>
      <c r="AL166" s="4967"/>
      <c r="AM166" s="4968"/>
      <c r="AN166" s="4969"/>
      <c r="AO166" s="4970"/>
      <c r="AP166" s="4971"/>
      <c r="AQ166" s="4972"/>
      <c r="AR166" s="4065" t="s">
        <v>612</v>
      </c>
      <c r="AS166" s="3983"/>
      <c r="AT166" s="4030"/>
      <c r="AU166" s="4030" t="str">
        <f>IF(T166="","",T166)</f>
        <v>Добавить значение признака дифференциации</v>
      </c>
      <c r="AV166" s="4030"/>
      <c r="AW166" s="4030"/>
      <c r="AX166" s="3916">
        <v>0</v>
      </c>
    </row>
    <row s="10448" customFormat="1" customHeight="1" ht="21">
      <c r="A167" s="4017"/>
      <c r="B167" s="4017"/>
      <c r="C167" s="4017"/>
      <c r="D167" s="4017"/>
      <c r="E167" s="4018"/>
      <c r="F167" s="4018"/>
      <c r="G167" s="4018">
        <v>1</v>
      </c>
      <c r="H167" s="4018"/>
      <c r="I167" s="4020"/>
      <c r="J167" s="4017"/>
      <c r="K167" s="4017"/>
      <c r="L167" s="4021"/>
      <c r="M167" s="4022"/>
      <c r="N167" s="4022"/>
      <c r="O167" s="4022"/>
      <c r="P167" s="4023"/>
      <c r="Q167" s="4023"/>
      <c r="R167" s="4039"/>
      <c r="S167" s="4974"/>
      <c r="T167" s="4975" t="s">
        <v>540</v>
      </c>
      <c r="U167" s="4976"/>
      <c r="V167" s="4977"/>
      <c r="W167" s="4978"/>
      <c r="X167" s="4979"/>
      <c r="Y167" s="4980"/>
      <c r="Z167" s="4981"/>
      <c r="AA167" s="4982"/>
      <c r="AB167" s="4983"/>
      <c r="AC167" s="4984"/>
      <c r="AD167" s="4985"/>
      <c r="AE167" s="4986"/>
      <c r="AF167" s="4987"/>
      <c r="AG167" s="4988"/>
      <c r="AH167" s="4989"/>
      <c r="AI167" s="4990"/>
      <c r="AJ167" s="4991"/>
      <c r="AK167" s="4992"/>
      <c r="AL167" s="4993"/>
      <c r="AM167" s="4994"/>
      <c r="AN167" s="4995"/>
      <c r="AO167" s="4996"/>
      <c r="AP167" s="4997"/>
      <c r="AQ167" s="4998"/>
      <c r="AR167" s="4999"/>
      <c r="AS167" s="3983"/>
      <c r="AT167" s="4030"/>
      <c r="AU167" s="4030" t="str">
        <f>IF(T167="","",T167)</f>
        <v>Добавить группу потребителей</v>
      </c>
      <c r="AV167" s="4030"/>
      <c r="AW167" s="4030"/>
      <c r="AX167" s="3916">
        <v>0</v>
      </c>
    </row>
    <row s="10475" customFormat="1" customHeight="1" ht="14.25">
      <c r="A168" s="4017"/>
      <c r="B168" s="4017"/>
      <c r="C168" s="4017"/>
      <c r="D168" s="4017"/>
      <c r="E168" s="4018"/>
      <c r="F168" s="4018"/>
      <c r="G168" s="4018">
        <v>1</v>
      </c>
      <c r="H168" s="4110"/>
      <c r="I168" s="4017"/>
      <c r="J168" s="4017"/>
      <c r="K168" s="4017"/>
      <c r="L168" s="4021"/>
      <c r="M168" s="4111"/>
      <c r="N168" s="4111"/>
      <c r="O168" s="3973"/>
      <c r="P168" s="4239"/>
      <c r="Q168" s="4240"/>
      <c r="R168" s="4241"/>
      <c r="S168" s="5001"/>
      <c r="T168" s="5002" t="s">
        <v>613</v>
      </c>
      <c r="U168" s="5003"/>
      <c r="V168" s="5004"/>
      <c r="W168" s="5005"/>
      <c r="X168" s="5006"/>
      <c r="Y168" s="5007"/>
      <c r="Z168" s="5008"/>
      <c r="AA168" s="5009"/>
      <c r="AB168" s="5010"/>
      <c r="AC168" s="5011"/>
      <c r="AD168" s="5012"/>
      <c r="AE168" s="5013"/>
      <c r="AF168" s="5014"/>
      <c r="AG168" s="5015"/>
      <c r="AH168" s="5016"/>
      <c r="AI168" s="5017"/>
      <c r="AJ168" s="5018"/>
      <c r="AK168" s="5019"/>
      <c r="AL168" s="5020"/>
      <c r="AM168" s="5021"/>
      <c r="AN168" s="5022"/>
      <c r="AO168" s="5023"/>
      <c r="AP168" s="5024"/>
      <c r="AQ168" s="5025"/>
      <c r="AR168" s="5026"/>
      <c r="AS168" s="3983"/>
      <c r="AT168" s="4030"/>
      <c r="AU168" s="4030" t="str">
        <f>IF(T168="","",T168)</f>
        <v>Добавить наименование признака дифференциации</v>
      </c>
      <c r="AV168" s="4030"/>
      <c r="AW168" s="4030"/>
      <c r="AX168" s="3916">
        <v>0</v>
      </c>
    </row>
    <row s="10502" customFormat="1" customHeight="1" ht="14.25">
      <c r="A169" s="4269"/>
      <c r="B169" s="4269"/>
      <c r="C169" s="4269"/>
      <c r="D169" s="4269"/>
      <c r="E169" s="4018"/>
      <c r="F169" s="4110" t="s">
        <v>118</v>
      </c>
      <c r="G169" s="4269"/>
      <c r="H169" s="4269"/>
      <c r="I169" s="4269"/>
      <c r="J169" s="4269"/>
      <c r="K169" s="4269"/>
      <c r="L169" s="4270"/>
      <c r="M169" s="4271"/>
      <c r="N169" s="4271"/>
      <c r="O169" s="3983"/>
      <c r="P169" s="4272"/>
      <c r="Q169" s="4273"/>
      <c r="R169" s="4272"/>
      <c r="S169" s="4274"/>
      <c r="T169" s="4275" t="s">
        <v>298</v>
      </c>
      <c r="U169" s="3971"/>
      <c r="V169" s="3971"/>
      <c r="W169" s="3971"/>
      <c r="X169" s="3971"/>
      <c r="Y169" s="3971"/>
      <c r="Z169" s="3971"/>
      <c r="AA169" s="3971"/>
      <c r="AB169" s="3971"/>
      <c r="AC169" s="3971"/>
      <c r="AD169" s="3971"/>
      <c r="AE169" s="3971"/>
      <c r="AF169" s="3971"/>
      <c r="AG169" s="3971"/>
      <c r="AH169" s="3971"/>
      <c r="AI169" s="3971"/>
      <c r="AJ169" s="3971"/>
      <c r="AK169" s="3971"/>
      <c r="AL169" s="3971"/>
      <c r="AM169" s="3971"/>
      <c r="AN169" s="3971"/>
      <c r="AO169" s="3971"/>
      <c r="AP169" s="3971"/>
      <c r="AQ169" s="3971"/>
      <c r="AR169" s="3971"/>
      <c r="AS169" s="3983"/>
      <c r="AT169" s="4030"/>
      <c r="AU169" s="4030" t="str">
        <f>IF(T169="","",T169)</f>
        <v>Добавить централизованную систему для дифференциации</v>
      </c>
      <c r="AV169" s="4030"/>
      <c r="AW169" s="4030"/>
      <c r="AX169" s="3983">
        <v>0</v>
      </c>
    </row>
    <row s="10503" customFormat="1" customHeight="1" ht="23.25">
      <c r="A170" s="4017"/>
      <c r="B170" s="4017" t="s">
        <v>318</v>
      </c>
      <c r="C170" s="4017"/>
      <c r="D170" s="4017"/>
      <c r="E170" s="4018"/>
      <c r="F170" s="4110" t="s">
        <v>93</v>
      </c>
      <c r="G170" s="4017"/>
      <c r="H170" s="4017"/>
      <c r="I170" s="4017"/>
      <c r="J170" s="4017"/>
      <c r="K170" s="4017"/>
      <c r="L170" s="4021"/>
      <c r="M170" s="4111"/>
      <c r="N170" s="4111"/>
      <c r="O170" s="4111"/>
      <c r="P170" s="4112"/>
      <c r="Q170" s="4113"/>
      <c r="R170" s="4114"/>
      <c r="S170" s="4026" t="str">
        <f>INDEX(PT_DIFFERENTIATION_NUM_TER,MATCH(B170,PT_DIFFERENTIATION_TER_ID,0))</f>
        <v>1.7</v>
      </c>
      <c r="T170" s="4115" t="s">
        <v>525</v>
      </c>
      <c r="U170" s="4028"/>
      <c r="V170" s="3918"/>
      <c r="W170" s="3919"/>
      <c r="X170" s="3919"/>
      <c r="Y170" s="3919"/>
      <c r="Z170" s="3919"/>
      <c r="AA170" s="3919"/>
      <c r="AB170" s="3920"/>
      <c r="AC170" s="3918" t="str">
        <f>INDEX(PT_DIFFERENTIATION_TER,MATCH(B170,PT_DIFFERENTIATION_TER_ID,0))</f>
        <v>Территория 7</v>
      </c>
      <c r="AD170" s="3919"/>
      <c r="AE170" s="3919"/>
      <c r="AF170" s="3919"/>
      <c r="AG170" s="3919"/>
      <c r="AH170" s="3919"/>
      <c r="AI170" s="3919"/>
      <c r="AJ170" s="3918"/>
      <c r="AK170" s="3919"/>
      <c r="AL170" s="3919"/>
      <c r="AM170" s="3919"/>
      <c r="AN170" s="3919"/>
      <c r="AO170" s="3919"/>
      <c r="AP170" s="3920"/>
      <c r="AQ170" s="3920"/>
      <c r="AR170" s="4065" t="s">
        <v>526</v>
      </c>
      <c r="AS170" s="3983"/>
      <c r="AT170" s="4030"/>
      <c r="AU170" s="4030" t="str">
        <f>IF(T170="","",T170)</f>
        <v>Территория действия тарифа</v>
      </c>
      <c r="AV170" s="4030"/>
      <c r="AW170" s="4030"/>
      <c r="AX170" s="3916">
        <v>0</v>
      </c>
    </row>
    <row s="10504" customFormat="1" customHeight="1" ht="23.25">
      <c r="A171" s="4017"/>
      <c r="B171" s="4017"/>
      <c r="C171" s="4017" t="s">
        <v>319</v>
      </c>
      <c r="D171" s="4017"/>
      <c r="E171" s="4018"/>
      <c r="F171" s="4018" t="s">
        <v>92</v>
      </c>
      <c r="G171" s="4110">
        <v>1</v>
      </c>
      <c r="H171" s="4017"/>
      <c r="I171" s="4017"/>
      <c r="J171" s="4017"/>
      <c r="K171" s="4017"/>
      <c r="L171" s="4021"/>
      <c r="M171" s="4111"/>
      <c r="N171" s="4111"/>
      <c r="O171" s="4111"/>
      <c r="P171" s="4117"/>
      <c r="Q171" s="4113"/>
      <c r="R171" s="4114"/>
      <c r="S171" s="4026" t="str">
        <f>INDEX(PT_DIFFERENTIATION_NUM_CS,MATCH(C171,PT_DIFFERENTIATION_CS_ID,0))</f>
        <v>1.7.1</v>
      </c>
      <c r="T171" s="4118" t="s">
        <v>606</v>
      </c>
      <c r="U171" s="4028"/>
      <c r="V171" s="3918"/>
      <c r="W171" s="3919"/>
      <c r="X171" s="3919"/>
      <c r="Y171" s="3919"/>
      <c r="Z171" s="3919"/>
      <c r="AA171" s="3919"/>
      <c r="AB171" s="3920"/>
      <c r="AC171" s="3918" t="str">
        <f>INDEX(PT_DIFFERENTIATION_CS,MATCH(C171,PT_DIFFERENTIATION_CS_ID,0))</f>
        <v>без дифференциации</v>
      </c>
      <c r="AD171" s="3919"/>
      <c r="AE171" s="3919"/>
      <c r="AF171" s="3919"/>
      <c r="AG171" s="3919"/>
      <c r="AH171" s="3919"/>
      <c r="AI171" s="3919"/>
      <c r="AJ171" s="3918"/>
      <c r="AK171" s="3919"/>
      <c r="AL171" s="3919"/>
      <c r="AM171" s="3919"/>
      <c r="AN171" s="3919"/>
      <c r="AO171" s="3919"/>
      <c r="AP171" s="3920"/>
      <c r="AQ171" s="3920"/>
      <c r="AR171" s="4065" t="s">
        <v>607</v>
      </c>
      <c r="AS171" s="3983"/>
      <c r="AT171" s="4030"/>
      <c r="AU171" s="4030" t="str">
        <f>IF(T171="","",T171)</f>
        <v>Наименование централизованной системы холодного водоснабжения</v>
      </c>
      <c r="AV171" s="4030"/>
      <c r="AW171" s="4030"/>
      <c r="AX171" s="3916">
        <v>0</v>
      </c>
    </row>
    <row s="10505" customFormat="1" customHeight="1" ht="23.25">
      <c r="A172" s="4017"/>
      <c r="B172" s="4017"/>
      <c r="C172" s="4017"/>
      <c r="D172" s="4017"/>
      <c r="E172" s="4018"/>
      <c r="F172" s="4018" t="s">
        <v>92</v>
      </c>
      <c r="G172" s="4018"/>
      <c r="H172" s="4018"/>
      <c r="I172" s="4020" t="str">
        <f>S171&amp;".1"</f>
        <v>1.7.1.1</v>
      </c>
      <c r="J172" s="4017"/>
      <c r="K172" s="4017"/>
      <c r="L172" s="4021"/>
      <c r="M172" s="4022"/>
      <c r="N172" s="4022"/>
      <c r="O172" s="4022"/>
      <c r="P172" s="4023">
        <v>1</v>
      </c>
      <c r="Q172" s="4023"/>
      <c r="R172" s="4039"/>
      <c r="S172" s="4026" t="str">
        <f>$I172</f>
        <v>1.7.1.1</v>
      </c>
      <c r="T172" s="4120" t="s">
        <v>608</v>
      </c>
      <c r="U172" s="4028"/>
      <c r="V172" s="3928"/>
      <c r="W172" s="3929"/>
      <c r="X172" s="3929"/>
      <c r="Y172" s="3929"/>
      <c r="Z172" s="3929"/>
      <c r="AA172" s="3929"/>
      <c r="AB172" s="3930"/>
      <c r="AC172" s="4121"/>
      <c r="AD172" s="4122"/>
      <c r="AE172" s="4122"/>
      <c r="AF172" s="4122"/>
      <c r="AG172" s="4122"/>
      <c r="AH172" s="4122"/>
      <c r="AI172" s="4122"/>
      <c r="AJ172" s="3928"/>
      <c r="AK172" s="3929"/>
      <c r="AL172" s="3929"/>
      <c r="AM172" s="3929"/>
      <c r="AN172" s="3929"/>
      <c r="AO172" s="3929"/>
      <c r="AP172" s="3930"/>
      <c r="AQ172" s="4123"/>
      <c r="AR172" s="4065" t="s">
        <v>609</v>
      </c>
      <c r="AS172" s="3983"/>
      <c r="AT172" s="4030"/>
      <c r="AU172" s="4030" t="str">
        <f>IF(T172="","",T172)</f>
        <v>Наименование признака дифференциации</v>
      </c>
      <c r="AV172" s="4030"/>
      <c r="AW172" s="4030"/>
      <c r="AX172" s="3916">
        <v>0</v>
      </c>
    </row>
    <row s="10506" customFormat="1" customHeight="1" ht="23.25">
      <c r="A173" s="4017"/>
      <c r="B173" s="4017"/>
      <c r="C173" s="4017"/>
      <c r="D173" s="4017"/>
      <c r="E173" s="4018"/>
      <c r="F173" s="4018" t="s">
        <v>92</v>
      </c>
      <c r="G173" s="4018"/>
      <c r="H173" s="4018"/>
      <c r="I173" s="4019"/>
      <c r="J173" s="4020" t="str">
        <f>I172&amp;".1"</f>
        <v>1.7.1.1.1</v>
      </c>
      <c r="K173" s="4017"/>
      <c r="L173" s="4021" t="s">
        <v>534</v>
      </c>
      <c r="M173" s="4022"/>
      <c r="N173" s="4022"/>
      <c r="O173" s="4022"/>
      <c r="P173" s="4023"/>
      <c r="Q173" s="4023">
        <v>1</v>
      </c>
      <c r="R173" s="4025"/>
      <c r="S173" s="4026" t="str">
        <f>$J173</f>
        <v>1.7.1.1.1</v>
      </c>
      <c r="T173" s="4027" t="s">
        <v>535</v>
      </c>
      <c r="U173" s="4028"/>
      <c r="V173" s="3932"/>
      <c r="W173" s="3933"/>
      <c r="X173" s="3933"/>
      <c r="Y173" s="3933"/>
      <c r="Z173" s="3933"/>
      <c r="AA173" s="3933"/>
      <c r="AB173" s="3934"/>
      <c r="AC173" s="3932" t="s">
        <v>621</v>
      </c>
      <c r="AD173" s="3933"/>
      <c r="AE173" s="3933"/>
      <c r="AF173" s="3933"/>
      <c r="AG173" s="3933"/>
      <c r="AH173" s="3933"/>
      <c r="AI173" s="3933"/>
      <c r="AJ173" s="3932"/>
      <c r="AK173" s="3933"/>
      <c r="AL173" s="3933"/>
      <c r="AM173" s="3933"/>
      <c r="AN173" s="3933"/>
      <c r="AO173" s="3933"/>
      <c r="AP173" s="3934"/>
      <c r="AQ173" s="3934"/>
      <c r="AR173" s="4029" t="s">
        <v>610</v>
      </c>
      <c r="AS173" s="3983"/>
      <c r="AT173" s="4030"/>
      <c r="AU173" s="4030" t="str">
        <f>IF(T173="","",T173)</f>
        <v>Группа потребителей</v>
      </c>
      <c r="AV173" s="4030"/>
      <c r="AW173" s="4030"/>
      <c r="AX173" s="3916">
        <v>0</v>
      </c>
    </row>
    <row s="10507" customFormat="1" customHeight="1" ht="23.25">
      <c r="A174" s="4017"/>
      <c r="B174" s="4017"/>
      <c r="C174" s="4017"/>
      <c r="D174" s="4017"/>
      <c r="E174" s="4018"/>
      <c r="F174" s="4018" t="s">
        <v>92</v>
      </c>
      <c r="G174" s="4018"/>
      <c r="H174" s="4018"/>
      <c r="I174" s="4019"/>
      <c r="J174" s="4019"/>
      <c r="K174" s="4020" t="str">
        <f>J173&amp;".1"</f>
        <v>1.7.1.1.1.1</v>
      </c>
      <c r="L174" s="4021"/>
      <c r="M174" s="4022"/>
      <c r="N174" s="4022"/>
      <c r="O174" s="4022"/>
      <c r="P174" s="4023"/>
      <c r="Q174" s="4023"/>
      <c r="R174" s="4025">
        <v>1</v>
      </c>
      <c r="S174" s="4026" t="str">
        <f>$K174</f>
        <v>1.7.1.1.1.1</v>
      </c>
      <c r="T174" s="4032"/>
      <c r="U174" s="4028"/>
      <c r="V174" s="3936"/>
      <c r="W174" s="3936"/>
      <c r="X174" s="3937"/>
      <c r="Y174" s="3938"/>
      <c r="Z174" s="3939" t="s">
        <v>66</v>
      </c>
      <c r="AA174" s="3938"/>
      <c r="AB174" s="3939" t="s">
        <v>66</v>
      </c>
      <c r="AC174" s="3936">
        <v>43.88</v>
      </c>
      <c r="AD174" s="3936"/>
      <c r="AE174" s="3937"/>
      <c r="AF174" s="3938">
        <v>45658</v>
      </c>
      <c r="AG174" s="3939" t="s">
        <v>66</v>
      </c>
      <c r="AH174" s="4006">
        <v>45838</v>
      </c>
      <c r="AI174" s="3939" t="s">
        <v>66</v>
      </c>
      <c r="AJ174" s="3936">
        <v>47.39</v>
      </c>
      <c r="AK174" s="3936"/>
      <c r="AL174" s="3937"/>
      <c r="AM174" s="3938">
        <v>45839</v>
      </c>
      <c r="AN174" s="3939" t="s">
        <v>66</v>
      </c>
      <c r="AO174" s="3938">
        <v>46022</v>
      </c>
      <c r="AP174" s="3939" t="s">
        <v>66</v>
      </c>
      <c r="AQ174" s="4033"/>
      <c r="AR174" s="4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174" s="3983">
        <f>STRCHECKDATE(V175:AQ175)</f>
      </c>
      <c r="AT174" s="4030"/>
      <c r="AU174" s="4030" t="str">
        <f>IF(T174="","",T174)</f>
        <v/>
      </c>
      <c r="AV174" s="4030"/>
      <c r="AW174" s="4030"/>
      <c r="AX174" s="3916">
        <v>0</v>
      </c>
    </row>
    <row s="10508" customFormat="1" customHeight="1" ht="14.25">
      <c r="A175" s="4017"/>
      <c r="B175" s="4017"/>
      <c r="C175" s="4017"/>
      <c r="D175" s="4017"/>
      <c r="E175" s="4018"/>
      <c r="F175" s="4018" t="s">
        <v>92</v>
      </c>
      <c r="G175" s="4018"/>
      <c r="H175" s="4018"/>
      <c r="I175" s="4019"/>
      <c r="J175" s="4019"/>
      <c r="K175" s="4020"/>
      <c r="L175" s="4021"/>
      <c r="M175" s="4022"/>
      <c r="N175" s="4022"/>
      <c r="O175" s="4022"/>
      <c r="P175" s="4023"/>
      <c r="Q175" s="4023"/>
      <c r="R175" s="4025"/>
      <c r="S175" s="4036"/>
      <c r="T175" s="4028"/>
      <c r="U175" s="4028"/>
      <c r="V175" s="3943"/>
      <c r="W175" s="3943"/>
      <c r="X175" s="3944" t="str">
        <f>Y174&amp;"-"&amp;AA174</f>
        <v>-</v>
      </c>
      <c r="Y175" s="3945"/>
      <c r="Z175" s="3939"/>
      <c r="AA175" s="3945"/>
      <c r="AB175" s="3939"/>
      <c r="AC175" s="3943"/>
      <c r="AD175" s="3943"/>
      <c r="AE175" s="3944" t="str">
        <f>AF174&amp;"-"&amp;AH174</f>
        <v>45658-45838</v>
      </c>
      <c r="AF175" s="3945"/>
      <c r="AG175" s="3939"/>
      <c r="AH175" s="4008"/>
      <c r="AI175" s="3939"/>
      <c r="AJ175" s="3943"/>
      <c r="AK175" s="3943"/>
      <c r="AL175" s="3944" t="str">
        <f>AM174&amp;"-"&amp;AO174</f>
        <v>45839-46022</v>
      </c>
      <c r="AM175" s="3945"/>
      <c r="AN175" s="3939"/>
      <c r="AO175" s="3945"/>
      <c r="AP175" s="3939"/>
      <c r="AQ175" s="4037"/>
      <c r="AR175" s="4034"/>
      <c r="AS175" s="3983"/>
      <c r="AT175" s="4030"/>
      <c r="AU175" s="4030" t="str">
        <f>IF(T175="","",T175)</f>
        <v/>
      </c>
      <c r="AV175" s="4030"/>
      <c r="AW175" s="4030"/>
      <c r="AX175" s="3916">
        <v>0</v>
      </c>
    </row>
    <row s="10509" customFormat="1" customHeight="1" ht="21">
      <c r="A176" s="4017"/>
      <c r="B176" s="4017"/>
      <c r="C176" s="4017"/>
      <c r="D176" s="4017"/>
      <c r="E176" s="4018"/>
      <c r="F176" s="4018" t="s">
        <v>92</v>
      </c>
      <c r="G176" s="4018"/>
      <c r="H176" s="4018"/>
      <c r="I176" s="4019"/>
      <c r="J176" s="4020"/>
      <c r="K176" s="4017"/>
      <c r="L176" s="4021"/>
      <c r="M176" s="4022"/>
      <c r="N176" s="4022"/>
      <c r="O176" s="4022"/>
      <c r="P176" s="4023"/>
      <c r="Q176" s="4023"/>
      <c r="R176" s="4039"/>
      <c r="S176" s="5035"/>
      <c r="T176" s="5036" t="s">
        <v>611</v>
      </c>
      <c r="U176" s="5037"/>
      <c r="V176" s="5038"/>
      <c r="W176" s="5039"/>
      <c r="X176" s="5040"/>
      <c r="Y176" s="5041"/>
      <c r="Z176" s="5042"/>
      <c r="AA176" s="5043"/>
      <c r="AB176" s="5044"/>
      <c r="AC176" s="5045"/>
      <c r="AD176" s="5046"/>
      <c r="AE176" s="5047"/>
      <c r="AF176" s="5048"/>
      <c r="AG176" s="5049"/>
      <c r="AH176" s="5050"/>
      <c r="AI176" s="5051"/>
      <c r="AJ176" s="5052"/>
      <c r="AK176" s="5053"/>
      <c r="AL176" s="5054"/>
      <c r="AM176" s="5055"/>
      <c r="AN176" s="5056"/>
      <c r="AO176" s="5057"/>
      <c r="AP176" s="5058"/>
      <c r="AQ176" s="5059"/>
      <c r="AR176" s="4065" t="s">
        <v>612</v>
      </c>
      <c r="AS176" s="3983"/>
      <c r="AT176" s="4030"/>
      <c r="AU176" s="4030" t="str">
        <f>IF(T176="","",T176)</f>
        <v>Добавить значение признака дифференциации</v>
      </c>
      <c r="AV176" s="4030"/>
      <c r="AW176" s="4030"/>
      <c r="AX176" s="3916">
        <v>0</v>
      </c>
    </row>
    <row s="10535" customFormat="1" customHeight="1" ht="23.25">
      <c r="A177" s="4017"/>
      <c r="B177" s="4017"/>
      <c r="C177" s="4017"/>
      <c r="D177" s="4017"/>
      <c r="E177" s="4018"/>
      <c r="F177" s="4018"/>
      <c r="G177" s="4018"/>
      <c r="H177" s="4018"/>
      <c r="I177" s="4019"/>
      <c r="J177" s="4020" t="str">
        <f>I172&amp;".2"</f>
        <v>1.7.1.1.2</v>
      </c>
      <c r="K177" s="4017"/>
      <c r="L177" s="4021" t="s">
        <v>534</v>
      </c>
      <c r="M177" s="4022"/>
      <c r="N177" s="4022"/>
      <c r="O177" s="4022"/>
      <c r="P177" s="4023"/>
      <c r="Q177" s="4024" t="s">
        <v>105</v>
      </c>
      <c r="R177" s="4025"/>
      <c r="S177" s="4026" t="str">
        <f>$J177</f>
        <v>1.7.1.1.2</v>
      </c>
      <c r="T177" s="4027" t="s">
        <v>535</v>
      </c>
      <c r="U177" s="4028"/>
      <c r="V177" s="3932"/>
      <c r="W177" s="3933"/>
      <c r="X177" s="3933"/>
      <c r="Y177" s="3933"/>
      <c r="Z177" s="3933"/>
      <c r="AA177" s="3933"/>
      <c r="AB177" s="3934"/>
      <c r="AC177" s="3932" t="s">
        <v>622</v>
      </c>
      <c r="AD177" s="3933"/>
      <c r="AE177" s="3933"/>
      <c r="AF177" s="3933"/>
      <c r="AG177" s="3933"/>
      <c r="AH177" s="3933"/>
      <c r="AI177" s="3933"/>
      <c r="AJ177" s="3932"/>
      <c r="AK177" s="3933"/>
      <c r="AL177" s="3933"/>
      <c r="AM177" s="3933"/>
      <c r="AN177" s="3933"/>
      <c r="AO177" s="3933"/>
      <c r="AP177" s="3934"/>
      <c r="AQ177" s="3934"/>
      <c r="AR177" s="4029" t="s">
        <v>610</v>
      </c>
      <c r="AS177" s="3983"/>
      <c r="AT177" s="4030"/>
      <c r="AU177" s="4030" t="str">
        <f>IF(T177="","",T177)</f>
        <v>Группа потребителей</v>
      </c>
      <c r="AV177" s="4030"/>
      <c r="AW177" s="4030"/>
      <c r="AX177" s="3916">
        <v>0</v>
      </c>
    </row>
    <row s="10536" customFormat="1" customHeight="1" ht="23.25">
      <c r="A178" s="4017"/>
      <c r="B178" s="4017"/>
      <c r="C178" s="4017"/>
      <c r="D178" s="4017"/>
      <c r="E178" s="4018"/>
      <c r="F178" s="4018"/>
      <c r="G178" s="4018"/>
      <c r="H178" s="4018"/>
      <c r="I178" s="4019"/>
      <c r="J178" s="4019" t="str">
        <f>I172&amp;".1"</f>
        <v>1.7.1.1.1</v>
      </c>
      <c r="K178" s="4020" t="str">
        <f>J177&amp;".1"</f>
        <v>1.7.1.1.2.1</v>
      </c>
      <c r="L178" s="4021"/>
      <c r="M178" s="4022"/>
      <c r="N178" s="4022"/>
      <c r="O178" s="4022"/>
      <c r="P178" s="4023"/>
      <c r="Q178" s="4023"/>
      <c r="R178" s="4025">
        <v>1</v>
      </c>
      <c r="S178" s="4026" t="str">
        <f>$K178</f>
        <v>1.7.1.1.2.1</v>
      </c>
      <c r="T178" s="4032"/>
      <c r="U178" s="4028"/>
      <c r="V178" s="3936"/>
      <c r="W178" s="3936"/>
      <c r="X178" s="3937"/>
      <c r="Y178" s="3938"/>
      <c r="Z178" s="3939" t="s">
        <v>66</v>
      </c>
      <c r="AA178" s="3938"/>
      <c r="AB178" s="3939" t="s">
        <v>66</v>
      </c>
      <c r="AC178" s="3936">
        <v>45.28</v>
      </c>
      <c r="AD178" s="3936"/>
      <c r="AE178" s="3937"/>
      <c r="AF178" s="3938">
        <v>45658</v>
      </c>
      <c r="AG178" s="3939" t="s">
        <v>66</v>
      </c>
      <c r="AH178" s="4006">
        <v>45838</v>
      </c>
      <c r="AI178" s="3939" t="s">
        <v>66</v>
      </c>
      <c r="AJ178" s="3936">
        <v>59.92</v>
      </c>
      <c r="AK178" s="3936"/>
      <c r="AL178" s="3937"/>
      <c r="AM178" s="3938">
        <v>45839</v>
      </c>
      <c r="AN178" s="3939" t="s">
        <v>66</v>
      </c>
      <c r="AO178" s="3938">
        <v>46022</v>
      </c>
      <c r="AP178" s="3939" t="s">
        <v>66</v>
      </c>
      <c r="AQ178" s="4033"/>
      <c r="AR178" s="4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178" s="3983">
        <f>STRCHECKDATE(V179:AQ179)</f>
      </c>
      <c r="AT178" s="4030"/>
      <c r="AU178" s="4030" t="str">
        <f>IF(T178="","",T178)</f>
        <v/>
      </c>
      <c r="AV178" s="4030"/>
      <c r="AW178" s="4030"/>
      <c r="AX178" s="3916">
        <v>0</v>
      </c>
    </row>
    <row s="10537" customFormat="1" customHeight="1" ht="14.25">
      <c r="A179" s="4017"/>
      <c r="B179" s="4017"/>
      <c r="C179" s="4017"/>
      <c r="D179" s="4017"/>
      <c r="E179" s="4018"/>
      <c r="F179" s="4018"/>
      <c r="G179" s="4018"/>
      <c r="H179" s="4018"/>
      <c r="I179" s="4019"/>
      <c r="J179" s="4019" t="str">
        <f>I172&amp;".1"</f>
        <v>1.7.1.1.1</v>
      </c>
      <c r="K179" s="4020"/>
      <c r="L179" s="4021"/>
      <c r="M179" s="4022"/>
      <c r="N179" s="4022"/>
      <c r="O179" s="4022"/>
      <c r="P179" s="4023"/>
      <c r="Q179" s="4023"/>
      <c r="R179" s="4025"/>
      <c r="S179" s="4036"/>
      <c r="T179" s="4028"/>
      <c r="U179" s="4028"/>
      <c r="V179" s="3943"/>
      <c r="W179" s="3943"/>
      <c r="X179" s="3944" t="str">
        <f>Y178&amp;"-"&amp;AA178</f>
        <v>-</v>
      </c>
      <c r="Y179" s="3945"/>
      <c r="Z179" s="3939"/>
      <c r="AA179" s="3945"/>
      <c r="AB179" s="3939"/>
      <c r="AC179" s="3943"/>
      <c r="AD179" s="3943"/>
      <c r="AE179" s="3944" t="str">
        <f>AF178&amp;"-"&amp;AH178</f>
        <v>45658-45838</v>
      </c>
      <c r="AF179" s="3945"/>
      <c r="AG179" s="3939"/>
      <c r="AH179" s="4008"/>
      <c r="AI179" s="3939"/>
      <c r="AJ179" s="3943"/>
      <c r="AK179" s="3943"/>
      <c r="AL179" s="3944" t="str">
        <f>AM178&amp;"-"&amp;AO178</f>
        <v>45839-46022</v>
      </c>
      <c r="AM179" s="3945"/>
      <c r="AN179" s="3939"/>
      <c r="AO179" s="3945"/>
      <c r="AP179" s="3939"/>
      <c r="AQ179" s="4037"/>
      <c r="AR179" s="4034"/>
      <c r="AS179" s="3983"/>
      <c r="AT179" s="4030"/>
      <c r="AU179" s="4030" t="str">
        <f>IF(T179="","",T179)</f>
        <v/>
      </c>
      <c r="AV179" s="4030"/>
      <c r="AW179" s="4030"/>
      <c r="AX179" s="3916">
        <v>0</v>
      </c>
    </row>
    <row s="10538" customFormat="1" customHeight="1" ht="21">
      <c r="A180" s="4017"/>
      <c r="B180" s="4017"/>
      <c r="C180" s="4017"/>
      <c r="D180" s="4017"/>
      <c r="E180" s="4018"/>
      <c r="F180" s="4018"/>
      <c r="G180" s="4018"/>
      <c r="H180" s="4018"/>
      <c r="I180" s="4019"/>
      <c r="J180" s="4020" t="str">
        <f>I172&amp;".1"</f>
        <v>1.7.1.1.1</v>
      </c>
      <c r="K180" s="4017"/>
      <c r="L180" s="4021"/>
      <c r="M180" s="4022"/>
      <c r="N180" s="4022"/>
      <c r="O180" s="4022"/>
      <c r="P180" s="4023"/>
      <c r="Q180" s="4023"/>
      <c r="R180" s="4039"/>
      <c r="S180" s="5064"/>
      <c r="T180" s="5065" t="s">
        <v>611</v>
      </c>
      <c r="U180" s="5066"/>
      <c r="V180" s="5067"/>
      <c r="W180" s="5068"/>
      <c r="X180" s="5069"/>
      <c r="Y180" s="5070"/>
      <c r="Z180" s="5071"/>
      <c r="AA180" s="5072"/>
      <c r="AB180" s="5073"/>
      <c r="AC180" s="5074"/>
      <c r="AD180" s="5075"/>
      <c r="AE180" s="5076"/>
      <c r="AF180" s="5077"/>
      <c r="AG180" s="5078"/>
      <c r="AH180" s="5079"/>
      <c r="AI180" s="5080"/>
      <c r="AJ180" s="5081"/>
      <c r="AK180" s="5082"/>
      <c r="AL180" s="5083"/>
      <c r="AM180" s="5084"/>
      <c r="AN180" s="5085"/>
      <c r="AO180" s="5086"/>
      <c r="AP180" s="5087"/>
      <c r="AQ180" s="5088"/>
      <c r="AR180" s="4065" t="s">
        <v>612</v>
      </c>
      <c r="AS180" s="3983"/>
      <c r="AT180" s="4030"/>
      <c r="AU180" s="4030" t="str">
        <f>IF(T180="","",T180)</f>
        <v>Добавить значение признака дифференциации</v>
      </c>
      <c r="AV180" s="4030"/>
      <c r="AW180" s="4030"/>
      <c r="AX180" s="3916">
        <v>0</v>
      </c>
    </row>
    <row s="10564" customFormat="1" customHeight="1" ht="23.25">
      <c r="A181" s="4017"/>
      <c r="B181" s="4017"/>
      <c r="C181" s="4017"/>
      <c r="D181" s="4017"/>
      <c r="E181" s="4018"/>
      <c r="F181" s="4018"/>
      <c r="G181" s="4018"/>
      <c r="H181" s="4018"/>
      <c r="I181" s="4019"/>
      <c r="J181" s="4020" t="str">
        <f>I172&amp;".3"</f>
        <v>1.7.1.1.3</v>
      </c>
      <c r="K181" s="4017"/>
      <c r="L181" s="4021" t="s">
        <v>534</v>
      </c>
      <c r="M181" s="4022"/>
      <c r="N181" s="4022"/>
      <c r="O181" s="4022"/>
      <c r="P181" s="4023"/>
      <c r="Q181" s="4024" t="s">
        <v>105</v>
      </c>
      <c r="R181" s="4025"/>
      <c r="S181" s="4026" t="str">
        <f>$J181</f>
        <v>1.7.1.1.3</v>
      </c>
      <c r="T181" s="4027" t="s">
        <v>535</v>
      </c>
      <c r="U181" s="4028"/>
      <c r="V181" s="3932"/>
      <c r="W181" s="3933"/>
      <c r="X181" s="3933"/>
      <c r="Y181" s="3933"/>
      <c r="Z181" s="3933"/>
      <c r="AA181" s="3933"/>
      <c r="AB181" s="3934"/>
      <c r="AC181" s="3932" t="s">
        <v>623</v>
      </c>
      <c r="AD181" s="3933"/>
      <c r="AE181" s="3933"/>
      <c r="AF181" s="3933"/>
      <c r="AG181" s="3933"/>
      <c r="AH181" s="3933"/>
      <c r="AI181" s="3933"/>
      <c r="AJ181" s="3932"/>
      <c r="AK181" s="3933"/>
      <c r="AL181" s="3933"/>
      <c r="AM181" s="3933"/>
      <c r="AN181" s="3933"/>
      <c r="AO181" s="3933"/>
      <c r="AP181" s="3934"/>
      <c r="AQ181" s="3934"/>
      <c r="AR181" s="4029" t="s">
        <v>610</v>
      </c>
      <c r="AS181" s="3983"/>
      <c r="AT181" s="4030"/>
      <c r="AU181" s="4030" t="str">
        <f>IF(T181="","",T181)</f>
        <v>Группа потребителей</v>
      </c>
      <c r="AV181" s="4030"/>
      <c r="AW181" s="4030"/>
      <c r="AX181" s="3916">
        <v>0</v>
      </c>
    </row>
    <row s="10565" customFormat="1" customHeight="1" ht="23.25">
      <c r="A182" s="4017"/>
      <c r="B182" s="4017"/>
      <c r="C182" s="4017"/>
      <c r="D182" s="4017"/>
      <c r="E182" s="4018"/>
      <c r="F182" s="4018"/>
      <c r="G182" s="4018"/>
      <c r="H182" s="4018"/>
      <c r="I182" s="4019"/>
      <c r="J182" s="4019" t="str">
        <f>I172&amp;".2"</f>
        <v>1.7.1.1.2</v>
      </c>
      <c r="K182" s="4020" t="str">
        <f>J181&amp;".1"</f>
        <v>1.7.1.1.3.1</v>
      </c>
      <c r="L182" s="4021"/>
      <c r="M182" s="4022"/>
      <c r="N182" s="4022"/>
      <c r="O182" s="4022"/>
      <c r="P182" s="4023"/>
      <c r="Q182" s="4023"/>
      <c r="R182" s="4025">
        <v>1</v>
      </c>
      <c r="S182" s="4026" t="str">
        <f>$K182</f>
        <v>1.7.1.1.3.1</v>
      </c>
      <c r="T182" s="4032"/>
      <c r="U182" s="4028"/>
      <c r="V182" s="3936"/>
      <c r="W182" s="3936"/>
      <c r="X182" s="3937"/>
      <c r="Y182" s="3938"/>
      <c r="Z182" s="3939" t="s">
        <v>66</v>
      </c>
      <c r="AA182" s="3938"/>
      <c r="AB182" s="3939" t="s">
        <v>66</v>
      </c>
      <c r="AC182" s="3936">
        <v>45.28</v>
      </c>
      <c r="AD182" s="3936"/>
      <c r="AE182" s="3937"/>
      <c r="AF182" s="3938">
        <v>45658</v>
      </c>
      <c r="AG182" s="3939" t="s">
        <v>66</v>
      </c>
      <c r="AH182" s="4006">
        <v>45838</v>
      </c>
      <c r="AI182" s="3939" t="s">
        <v>66</v>
      </c>
      <c r="AJ182" s="3936">
        <v>59.92</v>
      </c>
      <c r="AK182" s="3936"/>
      <c r="AL182" s="3937"/>
      <c r="AM182" s="3938">
        <v>45839</v>
      </c>
      <c r="AN182" s="3939" t="s">
        <v>66</v>
      </c>
      <c r="AO182" s="3938">
        <v>46022</v>
      </c>
      <c r="AP182" s="3939" t="s">
        <v>66</v>
      </c>
      <c r="AQ182" s="4033"/>
      <c r="AR182" s="4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182" s="3983">
        <f>STRCHECKDATE(V183:AQ183)</f>
      </c>
      <c r="AT182" s="4030"/>
      <c r="AU182" s="4030" t="str">
        <f>IF(T182="","",T182)</f>
        <v/>
      </c>
      <c r="AV182" s="4030"/>
      <c r="AW182" s="4030"/>
      <c r="AX182" s="3916">
        <v>0</v>
      </c>
    </row>
    <row s="10566" customFormat="1" customHeight="1" ht="14.25">
      <c r="A183" s="4017"/>
      <c r="B183" s="4017"/>
      <c r="C183" s="4017"/>
      <c r="D183" s="4017"/>
      <c r="E183" s="4018"/>
      <c r="F183" s="4018"/>
      <c r="G183" s="4018"/>
      <c r="H183" s="4018"/>
      <c r="I183" s="4019"/>
      <c r="J183" s="4019" t="str">
        <f>I172&amp;".2"</f>
        <v>1.7.1.1.2</v>
      </c>
      <c r="K183" s="4020"/>
      <c r="L183" s="4021"/>
      <c r="M183" s="4022"/>
      <c r="N183" s="4022"/>
      <c r="O183" s="4022"/>
      <c r="P183" s="4023"/>
      <c r="Q183" s="4023"/>
      <c r="R183" s="4025"/>
      <c r="S183" s="4036"/>
      <c r="T183" s="4028"/>
      <c r="U183" s="4028"/>
      <c r="V183" s="3943"/>
      <c r="W183" s="3943"/>
      <c r="X183" s="3944" t="str">
        <f>Y182&amp;"-"&amp;AA182</f>
        <v>-</v>
      </c>
      <c r="Y183" s="3945"/>
      <c r="Z183" s="3939"/>
      <c r="AA183" s="3945"/>
      <c r="AB183" s="3939"/>
      <c r="AC183" s="3943"/>
      <c r="AD183" s="3943"/>
      <c r="AE183" s="3944" t="str">
        <f>AF182&amp;"-"&amp;AH182</f>
        <v>45658-45838</v>
      </c>
      <c r="AF183" s="3945"/>
      <c r="AG183" s="3939"/>
      <c r="AH183" s="4008"/>
      <c r="AI183" s="3939"/>
      <c r="AJ183" s="3943"/>
      <c r="AK183" s="3943"/>
      <c r="AL183" s="3944" t="str">
        <f>AM182&amp;"-"&amp;AO182</f>
        <v>45839-46022</v>
      </c>
      <c r="AM183" s="3945"/>
      <c r="AN183" s="3939"/>
      <c r="AO183" s="3945"/>
      <c r="AP183" s="3939"/>
      <c r="AQ183" s="4037"/>
      <c r="AR183" s="4034"/>
      <c r="AS183" s="3983"/>
      <c r="AT183" s="4030"/>
      <c r="AU183" s="4030" t="str">
        <f>IF(T183="","",T183)</f>
        <v/>
      </c>
      <c r="AV183" s="4030"/>
      <c r="AW183" s="4030"/>
      <c r="AX183" s="3916">
        <v>0</v>
      </c>
    </row>
    <row s="10567" customFormat="1" customHeight="1" ht="21">
      <c r="A184" s="4017"/>
      <c r="B184" s="4017"/>
      <c r="C184" s="4017"/>
      <c r="D184" s="4017"/>
      <c r="E184" s="4018"/>
      <c r="F184" s="4018"/>
      <c r="G184" s="4018"/>
      <c r="H184" s="4018"/>
      <c r="I184" s="4019"/>
      <c r="J184" s="4020" t="str">
        <f>I172&amp;".2"</f>
        <v>1.7.1.1.2</v>
      </c>
      <c r="K184" s="4017"/>
      <c r="L184" s="4021"/>
      <c r="M184" s="4022"/>
      <c r="N184" s="4022"/>
      <c r="O184" s="4022"/>
      <c r="P184" s="4023"/>
      <c r="Q184" s="4023"/>
      <c r="R184" s="4039"/>
      <c r="S184" s="5093"/>
      <c r="T184" s="5094" t="s">
        <v>611</v>
      </c>
      <c r="U184" s="5095"/>
      <c r="V184" s="5096"/>
      <c r="W184" s="5097"/>
      <c r="X184" s="5098"/>
      <c r="Y184" s="5099"/>
      <c r="Z184" s="5100"/>
      <c r="AA184" s="5101"/>
      <c r="AB184" s="5102"/>
      <c r="AC184" s="5103"/>
      <c r="AD184" s="5104"/>
      <c r="AE184" s="5105"/>
      <c r="AF184" s="5106"/>
      <c r="AG184" s="5107"/>
      <c r="AH184" s="5108"/>
      <c r="AI184" s="5109"/>
      <c r="AJ184" s="5110"/>
      <c r="AK184" s="5111"/>
      <c r="AL184" s="5112"/>
      <c r="AM184" s="5113"/>
      <c r="AN184" s="5114"/>
      <c r="AO184" s="5115"/>
      <c r="AP184" s="5116"/>
      <c r="AQ184" s="5117"/>
      <c r="AR184" s="4065" t="s">
        <v>612</v>
      </c>
      <c r="AS184" s="3983"/>
      <c r="AT184" s="4030"/>
      <c r="AU184" s="4030" t="str">
        <f>IF(T184="","",T184)</f>
        <v>Добавить значение признака дифференциации</v>
      </c>
      <c r="AV184" s="4030"/>
      <c r="AW184" s="4030"/>
      <c r="AX184" s="3916">
        <v>0</v>
      </c>
    </row>
    <row s="10593" customFormat="1" customHeight="1" ht="21">
      <c r="A185" s="4017"/>
      <c r="B185" s="4017"/>
      <c r="C185" s="4017"/>
      <c r="D185" s="4017"/>
      <c r="E185" s="4018"/>
      <c r="F185" s="4018" t="s">
        <v>92</v>
      </c>
      <c r="G185" s="4018"/>
      <c r="H185" s="4018"/>
      <c r="I185" s="4020"/>
      <c r="J185" s="4017"/>
      <c r="K185" s="4017"/>
      <c r="L185" s="4021"/>
      <c r="M185" s="4022"/>
      <c r="N185" s="4022"/>
      <c r="O185" s="4022"/>
      <c r="P185" s="4023"/>
      <c r="Q185" s="4023"/>
      <c r="R185" s="4039"/>
      <c r="S185" s="5119"/>
      <c r="T185" s="5120" t="s">
        <v>540</v>
      </c>
      <c r="U185" s="5121"/>
      <c r="V185" s="5122"/>
      <c r="W185" s="5123"/>
      <c r="X185" s="5124"/>
      <c r="Y185" s="5125"/>
      <c r="Z185" s="5126"/>
      <c r="AA185" s="5127"/>
      <c r="AB185" s="5128"/>
      <c r="AC185" s="5129"/>
      <c r="AD185" s="5130"/>
      <c r="AE185" s="5131"/>
      <c r="AF185" s="5132"/>
      <c r="AG185" s="5133"/>
      <c r="AH185" s="5134"/>
      <c r="AI185" s="5135"/>
      <c r="AJ185" s="5136"/>
      <c r="AK185" s="5137"/>
      <c r="AL185" s="5138"/>
      <c r="AM185" s="5139"/>
      <c r="AN185" s="5140"/>
      <c r="AO185" s="5141"/>
      <c r="AP185" s="5142"/>
      <c r="AQ185" s="5143"/>
      <c r="AR185" s="5144"/>
      <c r="AS185" s="3983"/>
      <c r="AT185" s="4030"/>
      <c r="AU185" s="4030" t="str">
        <f>IF(T185="","",T185)</f>
        <v>Добавить группу потребителей</v>
      </c>
      <c r="AV185" s="4030"/>
      <c r="AW185" s="4030"/>
      <c r="AX185" s="3916">
        <v>0</v>
      </c>
    </row>
    <row s="10620" customFormat="1" customHeight="1" ht="14.25">
      <c r="A186" s="4017"/>
      <c r="B186" s="4017"/>
      <c r="C186" s="4017"/>
      <c r="D186" s="4017"/>
      <c r="E186" s="4018"/>
      <c r="F186" s="4018" t="s">
        <v>92</v>
      </c>
      <c r="G186" s="4018"/>
      <c r="H186" s="4110"/>
      <c r="I186" s="4017"/>
      <c r="J186" s="4017"/>
      <c r="K186" s="4017"/>
      <c r="L186" s="4021"/>
      <c r="M186" s="4111"/>
      <c r="N186" s="4111"/>
      <c r="O186" s="3973"/>
      <c r="P186" s="4239"/>
      <c r="Q186" s="4240"/>
      <c r="R186" s="4241"/>
      <c r="S186" s="5146"/>
      <c r="T186" s="5147" t="s">
        <v>613</v>
      </c>
      <c r="U186" s="5148"/>
      <c r="V186" s="5149"/>
      <c r="W186" s="5150"/>
      <c r="X186" s="5151"/>
      <c r="Y186" s="5152"/>
      <c r="Z186" s="5153"/>
      <c r="AA186" s="5154"/>
      <c r="AB186" s="5155"/>
      <c r="AC186" s="5156"/>
      <c r="AD186" s="5157"/>
      <c r="AE186" s="5158"/>
      <c r="AF186" s="5159"/>
      <c r="AG186" s="5160"/>
      <c r="AH186" s="5161"/>
      <c r="AI186" s="5162"/>
      <c r="AJ186" s="5163"/>
      <c r="AK186" s="5164"/>
      <c r="AL186" s="5165"/>
      <c r="AM186" s="5166"/>
      <c r="AN186" s="5167"/>
      <c r="AO186" s="5168"/>
      <c r="AP186" s="5169"/>
      <c r="AQ186" s="5170"/>
      <c r="AR186" s="5171"/>
      <c r="AS186" s="3983"/>
      <c r="AT186" s="4030"/>
      <c r="AU186" s="4030" t="str">
        <f>IF(T186="","",T186)</f>
        <v>Добавить наименование признака дифференциации</v>
      </c>
      <c r="AV186" s="4030"/>
      <c r="AW186" s="4030"/>
      <c r="AX186" s="3916">
        <v>0</v>
      </c>
    </row>
    <row s="10647" customFormat="1" customHeight="1" ht="14.25">
      <c r="A187" s="4269"/>
      <c r="B187" s="4269"/>
      <c r="C187" s="4269"/>
      <c r="D187" s="4269"/>
      <c r="E187" s="4018"/>
      <c r="F187" s="4110" t="s">
        <v>92</v>
      </c>
      <c r="G187" s="4269"/>
      <c r="H187" s="4269"/>
      <c r="I187" s="4269"/>
      <c r="J187" s="4269"/>
      <c r="K187" s="4269"/>
      <c r="L187" s="4270"/>
      <c r="M187" s="4271"/>
      <c r="N187" s="4271"/>
      <c r="O187" s="3983"/>
      <c r="P187" s="4272"/>
      <c r="Q187" s="4273"/>
      <c r="R187" s="4272"/>
      <c r="S187" s="4274"/>
      <c r="T187" s="4275" t="s">
        <v>298</v>
      </c>
      <c r="U187" s="3971"/>
      <c r="V187" s="3971"/>
      <c r="W187" s="3971"/>
      <c r="X187" s="3971"/>
      <c r="Y187" s="3971"/>
      <c r="Z187" s="3971"/>
      <c r="AA187" s="3971"/>
      <c r="AB187" s="3971"/>
      <c r="AC187" s="3971"/>
      <c r="AD187" s="3971"/>
      <c r="AE187" s="3971"/>
      <c r="AF187" s="3971"/>
      <c r="AG187" s="3971"/>
      <c r="AH187" s="3971"/>
      <c r="AI187" s="3971"/>
      <c r="AJ187" s="3971"/>
      <c r="AK187" s="3971"/>
      <c r="AL187" s="3971"/>
      <c r="AM187" s="3971"/>
      <c r="AN187" s="3971"/>
      <c r="AO187" s="3971"/>
      <c r="AP187" s="3971"/>
      <c r="AQ187" s="3971"/>
      <c r="AR187" s="3971"/>
      <c r="AS187" s="3983"/>
      <c r="AT187" s="4030"/>
      <c r="AU187" s="4030" t="str">
        <f>IF(T187="","",T187)</f>
        <v>Добавить централизованную систему для дифференциации</v>
      </c>
      <c r="AV187" s="4030"/>
      <c r="AW187" s="4030"/>
      <c r="AX187" s="3983">
        <v>0</v>
      </c>
    </row>
    <row s="10648" customFormat="1" customHeight="1" ht="23.25">
      <c r="A188" s="4017"/>
      <c r="B188" s="4017" t="s">
        <v>321</v>
      </c>
      <c r="C188" s="4017"/>
      <c r="D188" s="4017"/>
      <c r="E188" s="4018"/>
      <c r="F188" s="4110" t="s">
        <v>131</v>
      </c>
      <c r="G188" s="4017"/>
      <c r="H188" s="4017"/>
      <c r="I188" s="4017"/>
      <c r="J188" s="4017"/>
      <c r="K188" s="4017"/>
      <c r="L188" s="4021"/>
      <c r="M188" s="4111"/>
      <c r="N188" s="4111"/>
      <c r="O188" s="4111"/>
      <c r="P188" s="4112"/>
      <c r="Q188" s="4113"/>
      <c r="R188" s="4114"/>
      <c r="S188" s="4026" t="str">
        <f>INDEX(PT_DIFFERENTIATION_NUM_TER,MATCH(B188,PT_DIFFERENTIATION_TER_ID,0))</f>
        <v>1.8</v>
      </c>
      <c r="T188" s="4115" t="s">
        <v>525</v>
      </c>
      <c r="U188" s="4028"/>
      <c r="V188" s="3918"/>
      <c r="W188" s="3919"/>
      <c r="X188" s="3919"/>
      <c r="Y188" s="3919"/>
      <c r="Z188" s="3919"/>
      <c r="AA188" s="3919"/>
      <c r="AB188" s="3920"/>
      <c r="AC188" s="3918" t="str">
        <f>INDEX(PT_DIFFERENTIATION_TER,MATCH(B188,PT_DIFFERENTIATION_TER_ID,0))</f>
        <v>Территория 8</v>
      </c>
      <c r="AD188" s="3919"/>
      <c r="AE188" s="3919"/>
      <c r="AF188" s="3919"/>
      <c r="AG188" s="3919"/>
      <c r="AH188" s="3919"/>
      <c r="AI188" s="3919"/>
      <c r="AJ188" s="3918"/>
      <c r="AK188" s="3919"/>
      <c r="AL188" s="3919"/>
      <c r="AM188" s="3919"/>
      <c r="AN188" s="3919"/>
      <c r="AO188" s="3919"/>
      <c r="AP188" s="3920"/>
      <c r="AQ188" s="3920"/>
      <c r="AR188" s="4065" t="s">
        <v>526</v>
      </c>
      <c r="AS188" s="3983"/>
      <c r="AT188" s="4030"/>
      <c r="AU188" s="4030" t="str">
        <f>IF(T188="","",T188)</f>
        <v>Территория действия тарифа</v>
      </c>
      <c r="AV188" s="4030"/>
      <c r="AW188" s="4030"/>
      <c r="AX188" s="3916">
        <v>0</v>
      </c>
    </row>
    <row s="10649" customFormat="1" customHeight="1" ht="23.25">
      <c r="A189" s="4017"/>
      <c r="B189" s="4017"/>
      <c r="C189" s="4017" t="s">
        <v>322</v>
      </c>
      <c r="D189" s="4017"/>
      <c r="E189" s="4018"/>
      <c r="F189" s="4018" t="s">
        <v>93</v>
      </c>
      <c r="G189" s="4110">
        <v>1</v>
      </c>
      <c r="H189" s="4017"/>
      <c r="I189" s="4017"/>
      <c r="J189" s="4017"/>
      <c r="K189" s="4017"/>
      <c r="L189" s="4021"/>
      <c r="M189" s="4111"/>
      <c r="N189" s="4111"/>
      <c r="O189" s="4111"/>
      <c r="P189" s="4117"/>
      <c r="Q189" s="4113"/>
      <c r="R189" s="4114"/>
      <c r="S189" s="4026" t="str">
        <f>INDEX(PT_DIFFERENTIATION_NUM_CS,MATCH(C189,PT_DIFFERENTIATION_CS_ID,0))</f>
        <v>1.8.1</v>
      </c>
      <c r="T189" s="4118" t="s">
        <v>606</v>
      </c>
      <c r="U189" s="4028"/>
      <c r="V189" s="3918"/>
      <c r="W189" s="3919"/>
      <c r="X189" s="3919"/>
      <c r="Y189" s="3919"/>
      <c r="Z189" s="3919"/>
      <c r="AA189" s="3919"/>
      <c r="AB189" s="3920"/>
      <c r="AC189" s="3918" t="str">
        <f>INDEX(PT_DIFFERENTIATION_CS,MATCH(C189,PT_DIFFERENTIATION_CS_ID,0))</f>
        <v>без дифференциации</v>
      </c>
      <c r="AD189" s="3919"/>
      <c r="AE189" s="3919"/>
      <c r="AF189" s="3919"/>
      <c r="AG189" s="3919"/>
      <c r="AH189" s="3919"/>
      <c r="AI189" s="3919"/>
      <c r="AJ189" s="3918"/>
      <c r="AK189" s="3919"/>
      <c r="AL189" s="3919"/>
      <c r="AM189" s="3919"/>
      <c r="AN189" s="3919"/>
      <c r="AO189" s="3919"/>
      <c r="AP189" s="3920"/>
      <c r="AQ189" s="3920"/>
      <c r="AR189" s="4065" t="s">
        <v>607</v>
      </c>
      <c r="AS189" s="3983"/>
      <c r="AT189" s="4030"/>
      <c r="AU189" s="4030" t="str">
        <f>IF(T189="","",T189)</f>
        <v>Наименование централизованной системы холодного водоснабжения</v>
      </c>
      <c r="AV189" s="4030"/>
      <c r="AW189" s="4030"/>
      <c r="AX189" s="3916">
        <v>0</v>
      </c>
    </row>
    <row s="10650" customFormat="1" customHeight="1" ht="23.25">
      <c r="A190" s="4017"/>
      <c r="B190" s="4017"/>
      <c r="C190" s="4017"/>
      <c r="D190" s="4017"/>
      <c r="E190" s="4018"/>
      <c r="F190" s="4018" t="s">
        <v>93</v>
      </c>
      <c r="G190" s="4018"/>
      <c r="H190" s="4018"/>
      <c r="I190" s="4020" t="str">
        <f>S189&amp;".1"</f>
        <v>1.8.1.1</v>
      </c>
      <c r="J190" s="4017"/>
      <c r="K190" s="4017"/>
      <c r="L190" s="4021"/>
      <c r="M190" s="4022"/>
      <c r="N190" s="4022"/>
      <c r="O190" s="4022"/>
      <c r="P190" s="4023">
        <v>1</v>
      </c>
      <c r="Q190" s="4023"/>
      <c r="R190" s="4039"/>
      <c r="S190" s="4026" t="str">
        <f>$I190</f>
        <v>1.8.1.1</v>
      </c>
      <c r="T190" s="4120" t="s">
        <v>608</v>
      </c>
      <c r="U190" s="4028"/>
      <c r="V190" s="3928"/>
      <c r="W190" s="3929"/>
      <c r="X190" s="3929"/>
      <c r="Y190" s="3929"/>
      <c r="Z190" s="3929"/>
      <c r="AA190" s="3929"/>
      <c r="AB190" s="3930"/>
      <c r="AC190" s="4121"/>
      <c r="AD190" s="4122"/>
      <c r="AE190" s="4122"/>
      <c r="AF190" s="4122"/>
      <c r="AG190" s="4122"/>
      <c r="AH190" s="4122"/>
      <c r="AI190" s="4122"/>
      <c r="AJ190" s="3928"/>
      <c r="AK190" s="3929"/>
      <c r="AL190" s="3929"/>
      <c r="AM190" s="3929"/>
      <c r="AN190" s="3929"/>
      <c r="AO190" s="3929"/>
      <c r="AP190" s="3930"/>
      <c r="AQ190" s="4123"/>
      <c r="AR190" s="4065" t="s">
        <v>609</v>
      </c>
      <c r="AS190" s="3983"/>
      <c r="AT190" s="4030"/>
      <c r="AU190" s="4030" t="str">
        <f>IF(T190="","",T190)</f>
        <v>Наименование признака дифференциации</v>
      </c>
      <c r="AV190" s="4030"/>
      <c r="AW190" s="4030"/>
      <c r="AX190" s="3916">
        <v>0</v>
      </c>
    </row>
    <row s="10651" customFormat="1" customHeight="1" ht="23.25">
      <c r="A191" s="4017"/>
      <c r="B191" s="4017"/>
      <c r="C191" s="4017"/>
      <c r="D191" s="4017"/>
      <c r="E191" s="4018"/>
      <c r="F191" s="4018" t="s">
        <v>93</v>
      </c>
      <c r="G191" s="4018"/>
      <c r="H191" s="4018"/>
      <c r="I191" s="4019"/>
      <c r="J191" s="4020" t="str">
        <f>I190&amp;".1"</f>
        <v>1.8.1.1.1</v>
      </c>
      <c r="K191" s="4017"/>
      <c r="L191" s="4021" t="s">
        <v>534</v>
      </c>
      <c r="M191" s="4022"/>
      <c r="N191" s="4022"/>
      <c r="O191" s="4022"/>
      <c r="P191" s="4023"/>
      <c r="Q191" s="4023">
        <v>1</v>
      </c>
      <c r="R191" s="4025"/>
      <c r="S191" s="4026" t="str">
        <f>$J191</f>
        <v>1.8.1.1.1</v>
      </c>
      <c r="T191" s="4027" t="s">
        <v>535</v>
      </c>
      <c r="U191" s="4028"/>
      <c r="V191" s="3932"/>
      <c r="W191" s="3933"/>
      <c r="X191" s="3933"/>
      <c r="Y191" s="3933"/>
      <c r="Z191" s="3933"/>
      <c r="AA191" s="3933"/>
      <c r="AB191" s="3934"/>
      <c r="AC191" s="3932" t="s">
        <v>621</v>
      </c>
      <c r="AD191" s="3933"/>
      <c r="AE191" s="3933"/>
      <c r="AF191" s="3933"/>
      <c r="AG191" s="3933"/>
      <c r="AH191" s="3933"/>
      <c r="AI191" s="3933"/>
      <c r="AJ191" s="3932"/>
      <c r="AK191" s="3933"/>
      <c r="AL191" s="3933"/>
      <c r="AM191" s="3933"/>
      <c r="AN191" s="3933"/>
      <c r="AO191" s="3933"/>
      <c r="AP191" s="3934"/>
      <c r="AQ191" s="3934"/>
      <c r="AR191" s="4029" t="s">
        <v>610</v>
      </c>
      <c r="AS191" s="3983"/>
      <c r="AT191" s="4030"/>
      <c r="AU191" s="4030" t="str">
        <f>IF(T191="","",T191)</f>
        <v>Группа потребителей</v>
      </c>
      <c r="AV191" s="4030"/>
      <c r="AW191" s="4030"/>
      <c r="AX191" s="3916">
        <v>0</v>
      </c>
    </row>
    <row s="10652" customFormat="1" customHeight="1" ht="23.25">
      <c r="A192" s="4017"/>
      <c r="B192" s="4017"/>
      <c r="C192" s="4017"/>
      <c r="D192" s="4017"/>
      <c r="E192" s="4018"/>
      <c r="F192" s="4018" t="s">
        <v>93</v>
      </c>
      <c r="G192" s="4018"/>
      <c r="H192" s="4018"/>
      <c r="I192" s="4019"/>
      <c r="J192" s="4019"/>
      <c r="K192" s="4020" t="str">
        <f>J191&amp;".1"</f>
        <v>1.8.1.1.1.1</v>
      </c>
      <c r="L192" s="4021"/>
      <c r="M192" s="4022"/>
      <c r="N192" s="4022"/>
      <c r="O192" s="4022"/>
      <c r="P192" s="4023"/>
      <c r="Q192" s="4023"/>
      <c r="R192" s="4025">
        <v>1</v>
      </c>
      <c r="S192" s="4026" t="str">
        <f>$K192</f>
        <v>1.8.1.1.1.1</v>
      </c>
      <c r="T192" s="4032"/>
      <c r="U192" s="4028"/>
      <c r="V192" s="3936"/>
      <c r="W192" s="3936"/>
      <c r="X192" s="3937"/>
      <c r="Y192" s="3938"/>
      <c r="Z192" s="3939" t="s">
        <v>66</v>
      </c>
      <c r="AA192" s="3938"/>
      <c r="AB192" s="3939" t="s">
        <v>66</v>
      </c>
      <c r="AC192" s="3936">
        <v>47.54</v>
      </c>
      <c r="AD192" s="3936"/>
      <c r="AE192" s="3937"/>
      <c r="AF192" s="3938">
        <v>45658</v>
      </c>
      <c r="AG192" s="3939" t="s">
        <v>66</v>
      </c>
      <c r="AH192" s="4006">
        <v>45838</v>
      </c>
      <c r="AI192" s="3939" t="s">
        <v>66</v>
      </c>
      <c r="AJ192" s="3936">
        <v>51.35</v>
      </c>
      <c r="AK192" s="3936"/>
      <c r="AL192" s="3937"/>
      <c r="AM192" s="3938">
        <v>45839</v>
      </c>
      <c r="AN192" s="3939" t="s">
        <v>66</v>
      </c>
      <c r="AO192" s="3938">
        <v>46022</v>
      </c>
      <c r="AP192" s="3939" t="s">
        <v>66</v>
      </c>
      <c r="AQ192" s="4033"/>
      <c r="AR192" s="4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192" s="3983">
        <f>STRCHECKDATE(V193:AQ193)</f>
      </c>
      <c r="AT192" s="4030"/>
      <c r="AU192" s="4030" t="str">
        <f>IF(T192="","",T192)</f>
        <v/>
      </c>
      <c r="AV192" s="4030"/>
      <c r="AW192" s="4030"/>
      <c r="AX192" s="3916">
        <v>0</v>
      </c>
    </row>
    <row s="10653" customFormat="1" customHeight="1" ht="14.25">
      <c r="A193" s="4017"/>
      <c r="B193" s="4017"/>
      <c r="C193" s="4017"/>
      <c r="D193" s="4017"/>
      <c r="E193" s="4018"/>
      <c r="F193" s="4018" t="s">
        <v>93</v>
      </c>
      <c r="G193" s="4018"/>
      <c r="H193" s="4018"/>
      <c r="I193" s="4019"/>
      <c r="J193" s="4019"/>
      <c r="K193" s="4020"/>
      <c r="L193" s="4021"/>
      <c r="M193" s="4022"/>
      <c r="N193" s="4022"/>
      <c r="O193" s="4022"/>
      <c r="P193" s="4023"/>
      <c r="Q193" s="4023"/>
      <c r="R193" s="4025"/>
      <c r="S193" s="4036"/>
      <c r="T193" s="4028"/>
      <c r="U193" s="4028"/>
      <c r="V193" s="3943"/>
      <c r="W193" s="3943"/>
      <c r="X193" s="3944" t="str">
        <f>Y192&amp;"-"&amp;AA192</f>
        <v>-</v>
      </c>
      <c r="Y193" s="3945"/>
      <c r="Z193" s="3939"/>
      <c r="AA193" s="3945"/>
      <c r="AB193" s="3939"/>
      <c r="AC193" s="3943"/>
      <c r="AD193" s="3943"/>
      <c r="AE193" s="3944" t="str">
        <f>AF192&amp;"-"&amp;AH192</f>
        <v>45658-45838</v>
      </c>
      <c r="AF193" s="3945"/>
      <c r="AG193" s="3939"/>
      <c r="AH193" s="4008"/>
      <c r="AI193" s="3939"/>
      <c r="AJ193" s="3943"/>
      <c r="AK193" s="3943"/>
      <c r="AL193" s="3944" t="str">
        <f>AM192&amp;"-"&amp;AO192</f>
        <v>45839-46022</v>
      </c>
      <c r="AM193" s="3945"/>
      <c r="AN193" s="3939"/>
      <c r="AO193" s="3945"/>
      <c r="AP193" s="3939"/>
      <c r="AQ193" s="4037"/>
      <c r="AR193" s="4034"/>
      <c r="AS193" s="3983"/>
      <c r="AT193" s="4030"/>
      <c r="AU193" s="4030" t="str">
        <f>IF(T193="","",T193)</f>
        <v/>
      </c>
      <c r="AV193" s="4030"/>
      <c r="AW193" s="4030"/>
      <c r="AX193" s="3916">
        <v>0</v>
      </c>
    </row>
    <row s="10654" customFormat="1" customHeight="1" ht="21">
      <c r="A194" s="4017"/>
      <c r="B194" s="4017"/>
      <c r="C194" s="4017"/>
      <c r="D194" s="4017"/>
      <c r="E194" s="4018"/>
      <c r="F194" s="4018" t="s">
        <v>93</v>
      </c>
      <c r="G194" s="4018"/>
      <c r="H194" s="4018"/>
      <c r="I194" s="4019"/>
      <c r="J194" s="4020"/>
      <c r="K194" s="4017"/>
      <c r="L194" s="4021"/>
      <c r="M194" s="4022"/>
      <c r="N194" s="4022"/>
      <c r="O194" s="4022"/>
      <c r="P194" s="4023"/>
      <c r="Q194" s="4023"/>
      <c r="R194" s="4039"/>
      <c r="S194" s="5180"/>
      <c r="T194" s="5181" t="s">
        <v>611</v>
      </c>
      <c r="U194" s="5182"/>
      <c r="V194" s="5183"/>
      <c r="W194" s="5184"/>
      <c r="X194" s="5185"/>
      <c r="Y194" s="5186"/>
      <c r="Z194" s="5187"/>
      <c r="AA194" s="5188"/>
      <c r="AB194" s="5189"/>
      <c r="AC194" s="5190"/>
      <c r="AD194" s="5191"/>
      <c r="AE194" s="5192"/>
      <c r="AF194" s="5193"/>
      <c r="AG194" s="5194"/>
      <c r="AH194" s="5195"/>
      <c r="AI194" s="5196"/>
      <c r="AJ194" s="5197"/>
      <c r="AK194" s="5198"/>
      <c r="AL194" s="5199"/>
      <c r="AM194" s="5200"/>
      <c r="AN194" s="5201"/>
      <c r="AO194" s="5202"/>
      <c r="AP194" s="5203"/>
      <c r="AQ194" s="5204"/>
      <c r="AR194" s="4065" t="s">
        <v>612</v>
      </c>
      <c r="AS194" s="3983"/>
      <c r="AT194" s="4030"/>
      <c r="AU194" s="4030" t="str">
        <f>IF(T194="","",T194)</f>
        <v>Добавить значение признака дифференциации</v>
      </c>
      <c r="AV194" s="4030"/>
      <c r="AW194" s="4030"/>
      <c r="AX194" s="3916">
        <v>0</v>
      </c>
    </row>
    <row s="10680" customFormat="1" customHeight="1" ht="23.25">
      <c r="A195" s="4017"/>
      <c r="B195" s="4017"/>
      <c r="C195" s="4017"/>
      <c r="D195" s="4017"/>
      <c r="E195" s="4018"/>
      <c r="F195" s="4018"/>
      <c r="G195" s="4018"/>
      <c r="H195" s="4018"/>
      <c r="I195" s="4019"/>
      <c r="J195" s="4020" t="str">
        <f>I190&amp;".2"</f>
        <v>1.8.1.1.2</v>
      </c>
      <c r="K195" s="4017"/>
      <c r="L195" s="4021" t="s">
        <v>534</v>
      </c>
      <c r="M195" s="4022"/>
      <c r="N195" s="4022"/>
      <c r="O195" s="4022"/>
      <c r="P195" s="4023"/>
      <c r="Q195" s="4024" t="s">
        <v>105</v>
      </c>
      <c r="R195" s="4025"/>
      <c r="S195" s="4026" t="str">
        <f>$J195</f>
        <v>1.8.1.1.2</v>
      </c>
      <c r="T195" s="4027" t="s">
        <v>535</v>
      </c>
      <c r="U195" s="4028"/>
      <c r="V195" s="3932"/>
      <c r="W195" s="3933"/>
      <c r="X195" s="3933"/>
      <c r="Y195" s="3933"/>
      <c r="Z195" s="3933"/>
      <c r="AA195" s="3933"/>
      <c r="AB195" s="3934"/>
      <c r="AC195" s="3932" t="s">
        <v>622</v>
      </c>
      <c r="AD195" s="3933"/>
      <c r="AE195" s="3933"/>
      <c r="AF195" s="3933"/>
      <c r="AG195" s="3933"/>
      <c r="AH195" s="3933"/>
      <c r="AI195" s="3933"/>
      <c r="AJ195" s="3932"/>
      <c r="AK195" s="3933"/>
      <c r="AL195" s="3933"/>
      <c r="AM195" s="3933"/>
      <c r="AN195" s="3933"/>
      <c r="AO195" s="3933"/>
      <c r="AP195" s="3934"/>
      <c r="AQ195" s="3934"/>
      <c r="AR195" s="4029" t="s">
        <v>610</v>
      </c>
      <c r="AS195" s="3983"/>
      <c r="AT195" s="4030"/>
      <c r="AU195" s="4030" t="str">
        <f>IF(T195="","",T195)</f>
        <v>Группа потребителей</v>
      </c>
      <c r="AV195" s="4030"/>
      <c r="AW195" s="4030"/>
      <c r="AX195" s="3916">
        <v>0</v>
      </c>
    </row>
    <row s="10681" customFormat="1" customHeight="1" ht="23.25">
      <c r="A196" s="4017"/>
      <c r="B196" s="4017"/>
      <c r="C196" s="4017"/>
      <c r="D196" s="4017"/>
      <c r="E196" s="4018"/>
      <c r="F196" s="4018"/>
      <c r="G196" s="4018"/>
      <c r="H196" s="4018"/>
      <c r="I196" s="4019"/>
      <c r="J196" s="4019" t="str">
        <f>I190&amp;".1"</f>
        <v>1.8.1.1.1</v>
      </c>
      <c r="K196" s="4020" t="str">
        <f>J195&amp;".1"</f>
        <v>1.8.1.1.2.1</v>
      </c>
      <c r="L196" s="4021"/>
      <c r="M196" s="4022"/>
      <c r="N196" s="4022"/>
      <c r="O196" s="4022"/>
      <c r="P196" s="4023"/>
      <c r="Q196" s="4023"/>
      <c r="R196" s="4025">
        <v>1</v>
      </c>
      <c r="S196" s="4026" t="str">
        <f>$K196</f>
        <v>1.8.1.1.2.1</v>
      </c>
      <c r="T196" s="4032"/>
      <c r="U196" s="4028"/>
      <c r="V196" s="3936"/>
      <c r="W196" s="3936"/>
      <c r="X196" s="3937"/>
      <c r="Y196" s="3938"/>
      <c r="Z196" s="3939" t="s">
        <v>66</v>
      </c>
      <c r="AA196" s="3938"/>
      <c r="AB196" s="3939" t="s">
        <v>66</v>
      </c>
      <c r="AC196" s="3936">
        <v>45.28</v>
      </c>
      <c r="AD196" s="3936"/>
      <c r="AE196" s="3937"/>
      <c r="AF196" s="3938">
        <v>45658</v>
      </c>
      <c r="AG196" s="3939" t="s">
        <v>66</v>
      </c>
      <c r="AH196" s="4006">
        <v>45838</v>
      </c>
      <c r="AI196" s="3939" t="s">
        <v>66</v>
      </c>
      <c r="AJ196" s="3936">
        <v>59.92</v>
      </c>
      <c r="AK196" s="3936"/>
      <c r="AL196" s="3937"/>
      <c r="AM196" s="3938">
        <v>45839</v>
      </c>
      <c r="AN196" s="3939" t="s">
        <v>66</v>
      </c>
      <c r="AO196" s="3938">
        <v>46022</v>
      </c>
      <c r="AP196" s="3939" t="s">
        <v>66</v>
      </c>
      <c r="AQ196" s="4033"/>
      <c r="AR196" s="4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196" s="3983">
        <f>STRCHECKDATE(V197:AQ197)</f>
      </c>
      <c r="AT196" s="4030"/>
      <c r="AU196" s="4030" t="str">
        <f>IF(T196="","",T196)</f>
        <v/>
      </c>
      <c r="AV196" s="4030"/>
      <c r="AW196" s="4030"/>
      <c r="AX196" s="3916">
        <v>0</v>
      </c>
    </row>
    <row s="10682" customFormat="1" customHeight="1" ht="14.25">
      <c r="A197" s="4017"/>
      <c r="B197" s="4017"/>
      <c r="C197" s="4017"/>
      <c r="D197" s="4017"/>
      <c r="E197" s="4018"/>
      <c r="F197" s="4018"/>
      <c r="G197" s="4018"/>
      <c r="H197" s="4018"/>
      <c r="I197" s="4019"/>
      <c r="J197" s="4019" t="str">
        <f>I190&amp;".1"</f>
        <v>1.8.1.1.1</v>
      </c>
      <c r="K197" s="4020"/>
      <c r="L197" s="4021"/>
      <c r="M197" s="4022"/>
      <c r="N197" s="4022"/>
      <c r="O197" s="4022"/>
      <c r="P197" s="4023"/>
      <c r="Q197" s="4023"/>
      <c r="R197" s="4025"/>
      <c r="S197" s="4036"/>
      <c r="T197" s="4028"/>
      <c r="U197" s="4028"/>
      <c r="V197" s="3943"/>
      <c r="W197" s="3943"/>
      <c r="X197" s="3944" t="str">
        <f>Y196&amp;"-"&amp;AA196</f>
        <v>-</v>
      </c>
      <c r="Y197" s="3945"/>
      <c r="Z197" s="3939"/>
      <c r="AA197" s="3945"/>
      <c r="AB197" s="3939"/>
      <c r="AC197" s="3943"/>
      <c r="AD197" s="3943"/>
      <c r="AE197" s="3944" t="str">
        <f>AF196&amp;"-"&amp;AH196</f>
        <v>45658-45838</v>
      </c>
      <c r="AF197" s="3945"/>
      <c r="AG197" s="3939"/>
      <c r="AH197" s="4008"/>
      <c r="AI197" s="3939"/>
      <c r="AJ197" s="3943"/>
      <c r="AK197" s="3943"/>
      <c r="AL197" s="3944" t="str">
        <f>AM196&amp;"-"&amp;AO196</f>
        <v>45839-46022</v>
      </c>
      <c r="AM197" s="3945"/>
      <c r="AN197" s="3939"/>
      <c r="AO197" s="3945"/>
      <c r="AP197" s="3939"/>
      <c r="AQ197" s="4037"/>
      <c r="AR197" s="4034"/>
      <c r="AS197" s="3983"/>
      <c r="AT197" s="4030"/>
      <c r="AU197" s="4030" t="str">
        <f>IF(T197="","",T197)</f>
        <v/>
      </c>
      <c r="AV197" s="4030"/>
      <c r="AW197" s="4030"/>
      <c r="AX197" s="3916">
        <v>0</v>
      </c>
    </row>
    <row s="10683" customFormat="1" customHeight="1" ht="21">
      <c r="A198" s="4017"/>
      <c r="B198" s="4017"/>
      <c r="C198" s="4017"/>
      <c r="D198" s="4017"/>
      <c r="E198" s="4018"/>
      <c r="F198" s="4018"/>
      <c r="G198" s="4018"/>
      <c r="H198" s="4018"/>
      <c r="I198" s="4019"/>
      <c r="J198" s="4020" t="str">
        <f>I190&amp;".1"</f>
        <v>1.8.1.1.1</v>
      </c>
      <c r="K198" s="4017"/>
      <c r="L198" s="4021"/>
      <c r="M198" s="4022"/>
      <c r="N198" s="4022"/>
      <c r="O198" s="4022"/>
      <c r="P198" s="4023"/>
      <c r="Q198" s="4023"/>
      <c r="R198" s="4039"/>
      <c r="S198" s="5209"/>
      <c r="T198" s="5210" t="s">
        <v>611</v>
      </c>
      <c r="U198" s="5211"/>
      <c r="V198" s="5212"/>
      <c r="W198" s="5213"/>
      <c r="X198" s="5214"/>
      <c r="Y198" s="5215"/>
      <c r="Z198" s="5216"/>
      <c r="AA198" s="5217"/>
      <c r="AB198" s="5218"/>
      <c r="AC198" s="5219"/>
      <c r="AD198" s="5220"/>
      <c r="AE198" s="5221"/>
      <c r="AF198" s="5222"/>
      <c r="AG198" s="5223"/>
      <c r="AH198" s="5224"/>
      <c r="AI198" s="5225"/>
      <c r="AJ198" s="5226"/>
      <c r="AK198" s="5227"/>
      <c r="AL198" s="5228"/>
      <c r="AM198" s="5229"/>
      <c r="AN198" s="5230"/>
      <c r="AO198" s="5231"/>
      <c r="AP198" s="5232"/>
      <c r="AQ198" s="5233"/>
      <c r="AR198" s="4065" t="s">
        <v>612</v>
      </c>
      <c r="AS198" s="3983"/>
      <c r="AT198" s="4030"/>
      <c r="AU198" s="4030" t="str">
        <f>IF(T198="","",T198)</f>
        <v>Добавить значение признака дифференциации</v>
      </c>
      <c r="AV198" s="4030"/>
      <c r="AW198" s="4030"/>
      <c r="AX198" s="3916">
        <v>0</v>
      </c>
    </row>
    <row s="10709" customFormat="1" customHeight="1" ht="23.25">
      <c r="A199" s="4017"/>
      <c r="B199" s="4017"/>
      <c r="C199" s="4017"/>
      <c r="D199" s="4017"/>
      <c r="E199" s="4018"/>
      <c r="F199" s="4018"/>
      <c r="G199" s="4018"/>
      <c r="H199" s="4018"/>
      <c r="I199" s="4019"/>
      <c r="J199" s="4020" t="str">
        <f>I190&amp;".3"</f>
        <v>1.8.1.1.3</v>
      </c>
      <c r="K199" s="4017"/>
      <c r="L199" s="4021" t="s">
        <v>534</v>
      </c>
      <c r="M199" s="4022"/>
      <c r="N199" s="4022"/>
      <c r="O199" s="4022"/>
      <c r="P199" s="4023"/>
      <c r="Q199" s="4024" t="s">
        <v>105</v>
      </c>
      <c r="R199" s="4025"/>
      <c r="S199" s="4026" t="str">
        <f>$J199</f>
        <v>1.8.1.1.3</v>
      </c>
      <c r="T199" s="4027" t="s">
        <v>535</v>
      </c>
      <c r="U199" s="4028"/>
      <c r="V199" s="3932"/>
      <c r="W199" s="3933"/>
      <c r="X199" s="3933"/>
      <c r="Y199" s="3933"/>
      <c r="Z199" s="3933"/>
      <c r="AA199" s="3933"/>
      <c r="AB199" s="3934"/>
      <c r="AC199" s="3932" t="s">
        <v>623</v>
      </c>
      <c r="AD199" s="3933"/>
      <c r="AE199" s="3933"/>
      <c r="AF199" s="3933"/>
      <c r="AG199" s="3933"/>
      <c r="AH199" s="3933"/>
      <c r="AI199" s="3933"/>
      <c r="AJ199" s="3932"/>
      <c r="AK199" s="3933"/>
      <c r="AL199" s="3933"/>
      <c r="AM199" s="3933"/>
      <c r="AN199" s="3933"/>
      <c r="AO199" s="3933"/>
      <c r="AP199" s="3934"/>
      <c r="AQ199" s="3934"/>
      <c r="AR199" s="4029" t="s">
        <v>610</v>
      </c>
      <c r="AS199" s="3983"/>
      <c r="AT199" s="4030"/>
      <c r="AU199" s="4030" t="str">
        <f>IF(T199="","",T199)</f>
        <v>Группа потребителей</v>
      </c>
      <c r="AV199" s="4030"/>
      <c r="AW199" s="4030"/>
      <c r="AX199" s="3916">
        <v>0</v>
      </c>
    </row>
    <row s="10710" customFormat="1" customHeight="1" ht="23.25">
      <c r="A200" s="4017"/>
      <c r="B200" s="4017"/>
      <c r="C200" s="4017"/>
      <c r="D200" s="4017"/>
      <c r="E200" s="4018"/>
      <c r="F200" s="4018"/>
      <c r="G200" s="4018"/>
      <c r="H200" s="4018"/>
      <c r="I200" s="4019"/>
      <c r="J200" s="4019" t="str">
        <f>I190&amp;".2"</f>
        <v>1.8.1.1.2</v>
      </c>
      <c r="K200" s="4020" t="str">
        <f>J199&amp;".1"</f>
        <v>1.8.1.1.3.1</v>
      </c>
      <c r="L200" s="4021"/>
      <c r="M200" s="4022"/>
      <c r="N200" s="4022"/>
      <c r="O200" s="4022"/>
      <c r="P200" s="4023"/>
      <c r="Q200" s="4023"/>
      <c r="R200" s="4025">
        <v>1</v>
      </c>
      <c r="S200" s="4026" t="str">
        <f>$K200</f>
        <v>1.8.1.1.3.1</v>
      </c>
      <c r="T200" s="4032"/>
      <c r="U200" s="4028"/>
      <c r="V200" s="3936"/>
      <c r="W200" s="3936"/>
      <c r="X200" s="3937"/>
      <c r="Y200" s="3938"/>
      <c r="Z200" s="3939" t="s">
        <v>66</v>
      </c>
      <c r="AA200" s="3938"/>
      <c r="AB200" s="3939" t="s">
        <v>66</v>
      </c>
      <c r="AC200" s="3936">
        <v>45.28</v>
      </c>
      <c r="AD200" s="3936"/>
      <c r="AE200" s="3937"/>
      <c r="AF200" s="3938">
        <v>45658</v>
      </c>
      <c r="AG200" s="3939" t="s">
        <v>66</v>
      </c>
      <c r="AH200" s="4006">
        <v>45838</v>
      </c>
      <c r="AI200" s="3939" t="s">
        <v>66</v>
      </c>
      <c r="AJ200" s="3936">
        <v>59.92</v>
      </c>
      <c r="AK200" s="3936"/>
      <c r="AL200" s="3937"/>
      <c r="AM200" s="3938">
        <v>45839</v>
      </c>
      <c r="AN200" s="3939" t="s">
        <v>66</v>
      </c>
      <c r="AO200" s="3938">
        <v>46022</v>
      </c>
      <c r="AP200" s="3939" t="s">
        <v>66</v>
      </c>
      <c r="AQ200" s="4033"/>
      <c r="AR200" s="4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200" s="3983">
        <f>STRCHECKDATE(V201:AQ201)</f>
      </c>
      <c r="AT200" s="4030"/>
      <c r="AU200" s="4030" t="str">
        <f>IF(T200="","",T200)</f>
        <v/>
      </c>
      <c r="AV200" s="4030"/>
      <c r="AW200" s="4030"/>
      <c r="AX200" s="3916">
        <v>0</v>
      </c>
    </row>
    <row s="10711" customFormat="1" customHeight="1" ht="14.25">
      <c r="A201" s="4017"/>
      <c r="B201" s="4017"/>
      <c r="C201" s="4017"/>
      <c r="D201" s="4017"/>
      <c r="E201" s="4018"/>
      <c r="F201" s="4018"/>
      <c r="G201" s="4018"/>
      <c r="H201" s="4018"/>
      <c r="I201" s="4019"/>
      <c r="J201" s="4019" t="str">
        <f>I190&amp;".2"</f>
        <v>1.8.1.1.2</v>
      </c>
      <c r="K201" s="4020"/>
      <c r="L201" s="4021"/>
      <c r="M201" s="4022"/>
      <c r="N201" s="4022"/>
      <c r="O201" s="4022"/>
      <c r="P201" s="4023"/>
      <c r="Q201" s="4023"/>
      <c r="R201" s="4025"/>
      <c r="S201" s="4036"/>
      <c r="T201" s="4028"/>
      <c r="U201" s="4028"/>
      <c r="V201" s="3943"/>
      <c r="W201" s="3943"/>
      <c r="X201" s="3944" t="str">
        <f>Y200&amp;"-"&amp;AA200</f>
        <v>-</v>
      </c>
      <c r="Y201" s="3945"/>
      <c r="Z201" s="3939"/>
      <c r="AA201" s="3945"/>
      <c r="AB201" s="3939"/>
      <c r="AC201" s="3943"/>
      <c r="AD201" s="3943"/>
      <c r="AE201" s="3944" t="str">
        <f>AF200&amp;"-"&amp;AH200</f>
        <v>45658-45838</v>
      </c>
      <c r="AF201" s="3945"/>
      <c r="AG201" s="3939"/>
      <c r="AH201" s="4008"/>
      <c r="AI201" s="3939"/>
      <c r="AJ201" s="3943"/>
      <c r="AK201" s="3943"/>
      <c r="AL201" s="3944" t="str">
        <f>AM200&amp;"-"&amp;AO200</f>
        <v>45839-46022</v>
      </c>
      <c r="AM201" s="3945"/>
      <c r="AN201" s="3939"/>
      <c r="AO201" s="3945"/>
      <c r="AP201" s="3939"/>
      <c r="AQ201" s="4037"/>
      <c r="AR201" s="4034"/>
      <c r="AS201" s="3983"/>
      <c r="AT201" s="4030"/>
      <c r="AU201" s="4030" t="str">
        <f>IF(T201="","",T201)</f>
        <v/>
      </c>
      <c r="AV201" s="4030"/>
      <c r="AW201" s="4030"/>
      <c r="AX201" s="3916">
        <v>0</v>
      </c>
    </row>
    <row s="10712" customFormat="1" customHeight="1" ht="21">
      <c r="A202" s="4017"/>
      <c r="B202" s="4017"/>
      <c r="C202" s="4017"/>
      <c r="D202" s="4017"/>
      <c r="E202" s="4018"/>
      <c r="F202" s="4018"/>
      <c r="G202" s="4018"/>
      <c r="H202" s="4018"/>
      <c r="I202" s="4019"/>
      <c r="J202" s="4020" t="str">
        <f>I190&amp;".2"</f>
        <v>1.8.1.1.2</v>
      </c>
      <c r="K202" s="4017"/>
      <c r="L202" s="4021"/>
      <c r="M202" s="4022"/>
      <c r="N202" s="4022"/>
      <c r="O202" s="4022"/>
      <c r="P202" s="4023"/>
      <c r="Q202" s="4023"/>
      <c r="R202" s="4039"/>
      <c r="S202" s="5238"/>
      <c r="T202" s="5239" t="s">
        <v>611</v>
      </c>
      <c r="U202" s="5240"/>
      <c r="V202" s="5241"/>
      <c r="W202" s="5242"/>
      <c r="X202" s="5243"/>
      <c r="Y202" s="5244"/>
      <c r="Z202" s="5245"/>
      <c r="AA202" s="5246"/>
      <c r="AB202" s="5247"/>
      <c r="AC202" s="5248"/>
      <c r="AD202" s="5249"/>
      <c r="AE202" s="5250"/>
      <c r="AF202" s="5251"/>
      <c r="AG202" s="5252"/>
      <c r="AH202" s="5253"/>
      <c r="AI202" s="5254"/>
      <c r="AJ202" s="5255"/>
      <c r="AK202" s="5256"/>
      <c r="AL202" s="5257"/>
      <c r="AM202" s="5258"/>
      <c r="AN202" s="5259"/>
      <c r="AO202" s="5260"/>
      <c r="AP202" s="5261"/>
      <c r="AQ202" s="5262"/>
      <c r="AR202" s="4065" t="s">
        <v>612</v>
      </c>
      <c r="AS202" s="3983"/>
      <c r="AT202" s="4030"/>
      <c r="AU202" s="4030" t="str">
        <f>IF(T202="","",T202)</f>
        <v>Добавить значение признака дифференциации</v>
      </c>
      <c r="AV202" s="4030"/>
      <c r="AW202" s="4030"/>
      <c r="AX202" s="3916">
        <v>0</v>
      </c>
    </row>
    <row s="10738" customFormat="1" customHeight="1" ht="21">
      <c r="A203" s="4017"/>
      <c r="B203" s="4017"/>
      <c r="C203" s="4017"/>
      <c r="D203" s="4017"/>
      <c r="E203" s="4018"/>
      <c r="F203" s="4018" t="s">
        <v>93</v>
      </c>
      <c r="G203" s="4018"/>
      <c r="H203" s="4018"/>
      <c r="I203" s="4020"/>
      <c r="J203" s="4017"/>
      <c r="K203" s="4017"/>
      <c r="L203" s="4021"/>
      <c r="M203" s="4022"/>
      <c r="N203" s="4022"/>
      <c r="O203" s="4022"/>
      <c r="P203" s="4023"/>
      <c r="Q203" s="4023"/>
      <c r="R203" s="4039"/>
      <c r="S203" s="5264"/>
      <c r="T203" s="5265" t="s">
        <v>540</v>
      </c>
      <c r="U203" s="5266"/>
      <c r="V203" s="5267"/>
      <c r="W203" s="5268"/>
      <c r="X203" s="5269"/>
      <c r="Y203" s="5270"/>
      <c r="Z203" s="5271"/>
      <c r="AA203" s="5272"/>
      <c r="AB203" s="5273"/>
      <c r="AC203" s="5274"/>
      <c r="AD203" s="5275"/>
      <c r="AE203" s="5276"/>
      <c r="AF203" s="5277"/>
      <c r="AG203" s="5278"/>
      <c r="AH203" s="5279"/>
      <c r="AI203" s="5280"/>
      <c r="AJ203" s="5281"/>
      <c r="AK203" s="5282"/>
      <c r="AL203" s="5283"/>
      <c r="AM203" s="5284"/>
      <c r="AN203" s="5285"/>
      <c r="AO203" s="5286"/>
      <c r="AP203" s="5287"/>
      <c r="AQ203" s="5288"/>
      <c r="AR203" s="5289"/>
      <c r="AS203" s="3983"/>
      <c r="AT203" s="4030"/>
      <c r="AU203" s="4030" t="str">
        <f>IF(T203="","",T203)</f>
        <v>Добавить группу потребителей</v>
      </c>
      <c r="AV203" s="4030"/>
      <c r="AW203" s="4030"/>
      <c r="AX203" s="3916">
        <v>0</v>
      </c>
    </row>
    <row s="10765" customFormat="1" customHeight="1" ht="14.25">
      <c r="A204" s="4017"/>
      <c r="B204" s="4017"/>
      <c r="C204" s="4017"/>
      <c r="D204" s="4017"/>
      <c r="E204" s="4018"/>
      <c r="F204" s="4018" t="s">
        <v>93</v>
      </c>
      <c r="G204" s="4018"/>
      <c r="H204" s="4110"/>
      <c r="I204" s="4017"/>
      <c r="J204" s="4017"/>
      <c r="K204" s="4017"/>
      <c r="L204" s="4021"/>
      <c r="M204" s="4111"/>
      <c r="N204" s="4111"/>
      <c r="O204" s="3973"/>
      <c r="P204" s="4239"/>
      <c r="Q204" s="4240"/>
      <c r="R204" s="4241"/>
      <c r="S204" s="5291"/>
      <c r="T204" s="5292" t="s">
        <v>613</v>
      </c>
      <c r="U204" s="5293"/>
      <c r="V204" s="5294"/>
      <c r="W204" s="5295"/>
      <c r="X204" s="5296"/>
      <c r="Y204" s="5297"/>
      <c r="Z204" s="5298"/>
      <c r="AA204" s="5299"/>
      <c r="AB204" s="5300"/>
      <c r="AC204" s="5301"/>
      <c r="AD204" s="5302"/>
      <c r="AE204" s="5303"/>
      <c r="AF204" s="5304"/>
      <c r="AG204" s="5305"/>
      <c r="AH204" s="5306"/>
      <c r="AI204" s="5307"/>
      <c r="AJ204" s="5308"/>
      <c r="AK204" s="5309"/>
      <c r="AL204" s="5310"/>
      <c r="AM204" s="5311"/>
      <c r="AN204" s="5312"/>
      <c r="AO204" s="5313"/>
      <c r="AP204" s="5314"/>
      <c r="AQ204" s="5315"/>
      <c r="AR204" s="5316"/>
      <c r="AS204" s="3983"/>
      <c r="AT204" s="4030"/>
      <c r="AU204" s="4030" t="str">
        <f>IF(T204="","",T204)</f>
        <v>Добавить наименование признака дифференциации</v>
      </c>
      <c r="AV204" s="4030"/>
      <c r="AW204" s="4030"/>
      <c r="AX204" s="3916">
        <v>0</v>
      </c>
    </row>
    <row s="10792" customFormat="1" customHeight="1" ht="14.25">
      <c r="A205" s="4269"/>
      <c r="B205" s="4269"/>
      <c r="C205" s="4269"/>
      <c r="D205" s="4269"/>
      <c r="E205" s="4018"/>
      <c r="F205" s="4110" t="s">
        <v>93</v>
      </c>
      <c r="G205" s="4269"/>
      <c r="H205" s="4269"/>
      <c r="I205" s="4269"/>
      <c r="J205" s="4269"/>
      <c r="K205" s="4269"/>
      <c r="L205" s="4270"/>
      <c r="M205" s="4271"/>
      <c r="N205" s="4271"/>
      <c r="O205" s="3983"/>
      <c r="P205" s="4272"/>
      <c r="Q205" s="4273"/>
      <c r="R205" s="4272"/>
      <c r="S205" s="4274"/>
      <c r="T205" s="4275" t="s">
        <v>298</v>
      </c>
      <c r="U205" s="3971"/>
      <c r="V205" s="3971"/>
      <c r="W205" s="3971"/>
      <c r="X205" s="3971"/>
      <c r="Y205" s="3971"/>
      <c r="Z205" s="3971"/>
      <c r="AA205" s="3971"/>
      <c r="AB205" s="3971"/>
      <c r="AC205" s="3971"/>
      <c r="AD205" s="3971"/>
      <c r="AE205" s="3971"/>
      <c r="AF205" s="3971"/>
      <c r="AG205" s="3971"/>
      <c r="AH205" s="3971"/>
      <c r="AI205" s="3971"/>
      <c r="AJ205" s="3971"/>
      <c r="AK205" s="3971"/>
      <c r="AL205" s="3971"/>
      <c r="AM205" s="3971"/>
      <c r="AN205" s="3971"/>
      <c r="AO205" s="3971"/>
      <c r="AP205" s="3971"/>
      <c r="AQ205" s="3971"/>
      <c r="AR205" s="3971"/>
      <c r="AS205" s="3983"/>
      <c r="AT205" s="4030"/>
      <c r="AU205" s="4030" t="str">
        <f>IF(T205="","",T205)</f>
        <v>Добавить централизованную систему для дифференциации</v>
      </c>
      <c r="AV205" s="4030"/>
      <c r="AW205" s="4030"/>
      <c r="AX205" s="3983">
        <v>0</v>
      </c>
    </row>
    <row s="10793" customFormat="1" customHeight="1" ht="23.25">
      <c r="A206" s="4017"/>
      <c r="B206" s="4017" t="s">
        <v>324</v>
      </c>
      <c r="C206" s="4017"/>
      <c r="D206" s="4017"/>
      <c r="E206" s="4018"/>
      <c r="F206" s="4110" t="s">
        <v>136</v>
      </c>
      <c r="G206" s="4017"/>
      <c r="H206" s="4017"/>
      <c r="I206" s="4017"/>
      <c r="J206" s="4017"/>
      <c r="K206" s="4017"/>
      <c r="L206" s="4021"/>
      <c r="M206" s="4111"/>
      <c r="N206" s="4111"/>
      <c r="O206" s="4111"/>
      <c r="P206" s="4112"/>
      <c r="Q206" s="4113"/>
      <c r="R206" s="4114"/>
      <c r="S206" s="4026" t="str">
        <f>INDEX(PT_DIFFERENTIATION_NUM_TER,MATCH(B206,PT_DIFFERENTIATION_TER_ID,0))</f>
        <v>1.9</v>
      </c>
      <c r="T206" s="4115" t="s">
        <v>525</v>
      </c>
      <c r="U206" s="4028"/>
      <c r="V206" s="3918"/>
      <c r="W206" s="3919"/>
      <c r="X206" s="3919"/>
      <c r="Y206" s="3919"/>
      <c r="Z206" s="3919"/>
      <c r="AA206" s="3919"/>
      <c r="AB206" s="3920"/>
      <c r="AC206" s="3918" t="str">
        <f>INDEX(PT_DIFFERENTIATION_TER,MATCH(B206,PT_DIFFERENTIATION_TER_ID,0))</f>
        <v>Территория 9</v>
      </c>
      <c r="AD206" s="3919"/>
      <c r="AE206" s="3919"/>
      <c r="AF206" s="3919"/>
      <c r="AG206" s="3919"/>
      <c r="AH206" s="3919"/>
      <c r="AI206" s="3919"/>
      <c r="AJ206" s="3918"/>
      <c r="AK206" s="3919"/>
      <c r="AL206" s="3919"/>
      <c r="AM206" s="3919"/>
      <c r="AN206" s="3919"/>
      <c r="AO206" s="3919"/>
      <c r="AP206" s="3920"/>
      <c r="AQ206" s="3920"/>
      <c r="AR206" s="4065" t="s">
        <v>526</v>
      </c>
      <c r="AS206" s="3983"/>
      <c r="AT206" s="4030"/>
      <c r="AU206" s="4030" t="str">
        <f>IF(T206="","",T206)</f>
        <v>Территория действия тарифа</v>
      </c>
      <c r="AV206" s="4030"/>
      <c r="AW206" s="4030"/>
      <c r="AX206" s="3916">
        <v>0</v>
      </c>
    </row>
    <row s="10794" customFormat="1" customHeight="1" ht="23.25">
      <c r="A207" s="4017"/>
      <c r="B207" s="4017"/>
      <c r="C207" s="4017" t="s">
        <v>325</v>
      </c>
      <c r="D207" s="4017"/>
      <c r="E207" s="4018"/>
      <c r="F207" s="4018" t="s">
        <v>131</v>
      </c>
      <c r="G207" s="4110">
        <v>1</v>
      </c>
      <c r="H207" s="4017"/>
      <c r="I207" s="4017"/>
      <c r="J207" s="4017"/>
      <c r="K207" s="4017"/>
      <c r="L207" s="4021"/>
      <c r="M207" s="4111"/>
      <c r="N207" s="4111"/>
      <c r="O207" s="4111"/>
      <c r="P207" s="4117"/>
      <c r="Q207" s="4113"/>
      <c r="R207" s="4114"/>
      <c r="S207" s="4026" t="str">
        <f>INDEX(PT_DIFFERENTIATION_NUM_CS,MATCH(C207,PT_DIFFERENTIATION_CS_ID,0))</f>
        <v>1.9.1</v>
      </c>
      <c r="T207" s="4118" t="s">
        <v>606</v>
      </c>
      <c r="U207" s="4028"/>
      <c r="V207" s="3918"/>
      <c r="W207" s="3919"/>
      <c r="X207" s="3919"/>
      <c r="Y207" s="3919"/>
      <c r="Z207" s="3919"/>
      <c r="AA207" s="3919"/>
      <c r="AB207" s="3920"/>
      <c r="AC207" s="3918" t="str">
        <f>INDEX(PT_DIFFERENTIATION_CS,MATCH(C207,PT_DIFFERENTIATION_CS_ID,0))</f>
        <v>без дифференциации</v>
      </c>
      <c r="AD207" s="3919"/>
      <c r="AE207" s="3919"/>
      <c r="AF207" s="3919"/>
      <c r="AG207" s="3919"/>
      <c r="AH207" s="3919"/>
      <c r="AI207" s="3919"/>
      <c r="AJ207" s="3918"/>
      <c r="AK207" s="3919"/>
      <c r="AL207" s="3919"/>
      <c r="AM207" s="3919"/>
      <c r="AN207" s="3919"/>
      <c r="AO207" s="3919"/>
      <c r="AP207" s="3920"/>
      <c r="AQ207" s="3920"/>
      <c r="AR207" s="4065" t="s">
        <v>607</v>
      </c>
      <c r="AS207" s="3983"/>
      <c r="AT207" s="4030"/>
      <c r="AU207" s="4030" t="str">
        <f>IF(T207="","",T207)</f>
        <v>Наименование централизованной системы холодного водоснабжения</v>
      </c>
      <c r="AV207" s="4030"/>
      <c r="AW207" s="4030"/>
      <c r="AX207" s="3916">
        <v>0</v>
      </c>
    </row>
    <row s="10795" customFormat="1" customHeight="1" ht="23.25">
      <c r="A208" s="4017"/>
      <c r="B208" s="4017"/>
      <c r="C208" s="4017"/>
      <c r="D208" s="4017"/>
      <c r="E208" s="4018"/>
      <c r="F208" s="4018" t="s">
        <v>131</v>
      </c>
      <c r="G208" s="4018"/>
      <c r="H208" s="4018"/>
      <c r="I208" s="4020" t="str">
        <f>S207&amp;".1"</f>
        <v>1.9.1.1</v>
      </c>
      <c r="J208" s="4017"/>
      <c r="K208" s="4017"/>
      <c r="L208" s="4021"/>
      <c r="M208" s="4022"/>
      <c r="N208" s="4022"/>
      <c r="O208" s="4022"/>
      <c r="P208" s="4023">
        <v>1</v>
      </c>
      <c r="Q208" s="4023"/>
      <c r="R208" s="4039"/>
      <c r="S208" s="4026" t="str">
        <f>$I208</f>
        <v>1.9.1.1</v>
      </c>
      <c r="T208" s="4120" t="s">
        <v>608</v>
      </c>
      <c r="U208" s="4028"/>
      <c r="V208" s="3928"/>
      <c r="W208" s="3929"/>
      <c r="X208" s="3929"/>
      <c r="Y208" s="3929"/>
      <c r="Z208" s="3929"/>
      <c r="AA208" s="3929"/>
      <c r="AB208" s="3930"/>
      <c r="AC208" s="4121"/>
      <c r="AD208" s="4122"/>
      <c r="AE208" s="4122"/>
      <c r="AF208" s="4122"/>
      <c r="AG208" s="4122"/>
      <c r="AH208" s="4122"/>
      <c r="AI208" s="4122"/>
      <c r="AJ208" s="3928"/>
      <c r="AK208" s="3929"/>
      <c r="AL208" s="3929"/>
      <c r="AM208" s="3929"/>
      <c r="AN208" s="3929"/>
      <c r="AO208" s="3929"/>
      <c r="AP208" s="3930"/>
      <c r="AQ208" s="4123"/>
      <c r="AR208" s="4065" t="s">
        <v>609</v>
      </c>
      <c r="AS208" s="3983"/>
      <c r="AT208" s="4030"/>
      <c r="AU208" s="4030" t="str">
        <f>IF(T208="","",T208)</f>
        <v>Наименование признака дифференциации</v>
      </c>
      <c r="AV208" s="4030"/>
      <c r="AW208" s="4030"/>
      <c r="AX208" s="3916">
        <v>0</v>
      </c>
    </row>
    <row s="10796" customFormat="1" customHeight="1" ht="23.25">
      <c r="A209" s="4017"/>
      <c r="B209" s="4017"/>
      <c r="C209" s="4017"/>
      <c r="D209" s="4017"/>
      <c r="E209" s="4018"/>
      <c r="F209" s="4018" t="s">
        <v>131</v>
      </c>
      <c r="G209" s="4018"/>
      <c r="H209" s="4018"/>
      <c r="I209" s="4019"/>
      <c r="J209" s="4020" t="str">
        <f>I208&amp;".1"</f>
        <v>1.9.1.1.1</v>
      </c>
      <c r="K209" s="4017"/>
      <c r="L209" s="4021" t="s">
        <v>534</v>
      </c>
      <c r="M209" s="4022"/>
      <c r="N209" s="4022"/>
      <c r="O209" s="4022"/>
      <c r="P209" s="4023"/>
      <c r="Q209" s="4023">
        <v>1</v>
      </c>
      <c r="R209" s="4025"/>
      <c r="S209" s="4026" t="str">
        <f>$J209</f>
        <v>1.9.1.1.1</v>
      </c>
      <c r="T209" s="4027" t="s">
        <v>535</v>
      </c>
      <c r="U209" s="4028"/>
      <c r="V209" s="3932"/>
      <c r="W209" s="3933"/>
      <c r="X209" s="3933"/>
      <c r="Y209" s="3933"/>
      <c r="Z209" s="3933"/>
      <c r="AA209" s="3933"/>
      <c r="AB209" s="3934"/>
      <c r="AC209" s="3932" t="s">
        <v>621</v>
      </c>
      <c r="AD209" s="3933"/>
      <c r="AE209" s="3933"/>
      <c r="AF209" s="3933"/>
      <c r="AG209" s="3933"/>
      <c r="AH209" s="3933"/>
      <c r="AI209" s="3933"/>
      <c r="AJ209" s="3932"/>
      <c r="AK209" s="3933"/>
      <c r="AL209" s="3933"/>
      <c r="AM209" s="3933"/>
      <c r="AN209" s="3933"/>
      <c r="AO209" s="3933"/>
      <c r="AP209" s="3934"/>
      <c r="AQ209" s="3934"/>
      <c r="AR209" s="4029" t="s">
        <v>610</v>
      </c>
      <c r="AS209" s="3983"/>
      <c r="AT209" s="4030"/>
      <c r="AU209" s="4030" t="str">
        <f>IF(T209="","",T209)</f>
        <v>Группа потребителей</v>
      </c>
      <c r="AV209" s="4030"/>
      <c r="AW209" s="4030"/>
      <c r="AX209" s="3916">
        <v>0</v>
      </c>
    </row>
    <row s="10797" customFormat="1" customHeight="1" ht="23.25">
      <c r="A210" s="4017"/>
      <c r="B210" s="4017"/>
      <c r="C210" s="4017"/>
      <c r="D210" s="4017"/>
      <c r="E210" s="4018"/>
      <c r="F210" s="4018" t="s">
        <v>131</v>
      </c>
      <c r="G210" s="4018"/>
      <c r="H210" s="4018"/>
      <c r="I210" s="4019"/>
      <c r="J210" s="4019"/>
      <c r="K210" s="4020" t="str">
        <f>J209&amp;".1"</f>
        <v>1.9.1.1.1.1</v>
      </c>
      <c r="L210" s="4021"/>
      <c r="M210" s="4022"/>
      <c r="N210" s="4022"/>
      <c r="O210" s="4022"/>
      <c r="P210" s="4023"/>
      <c r="Q210" s="4023"/>
      <c r="R210" s="4025">
        <v>1</v>
      </c>
      <c r="S210" s="4026" t="str">
        <f>$K210</f>
        <v>1.9.1.1.1.1</v>
      </c>
      <c r="T210" s="4032"/>
      <c r="U210" s="4028"/>
      <c r="V210" s="3936"/>
      <c r="W210" s="3936"/>
      <c r="X210" s="3937"/>
      <c r="Y210" s="3938"/>
      <c r="Z210" s="3939" t="s">
        <v>66</v>
      </c>
      <c r="AA210" s="3938"/>
      <c r="AB210" s="3939" t="s">
        <v>66</v>
      </c>
      <c r="AC210" s="3936">
        <v>53.72</v>
      </c>
      <c r="AD210" s="3936"/>
      <c r="AE210" s="3937"/>
      <c r="AF210" s="3938">
        <v>45658</v>
      </c>
      <c r="AG210" s="3939" t="s">
        <v>66</v>
      </c>
      <c r="AH210" s="4006">
        <v>45838</v>
      </c>
      <c r="AI210" s="3939" t="s">
        <v>66</v>
      </c>
      <c r="AJ210" s="3936">
        <v>58.02</v>
      </c>
      <c r="AK210" s="3936"/>
      <c r="AL210" s="3937"/>
      <c r="AM210" s="3938">
        <v>45839</v>
      </c>
      <c r="AN210" s="3939" t="s">
        <v>66</v>
      </c>
      <c r="AO210" s="3938">
        <v>46022</v>
      </c>
      <c r="AP210" s="3939" t="s">
        <v>66</v>
      </c>
      <c r="AQ210" s="4033"/>
      <c r="AR210" s="4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210" s="3983">
        <f>STRCHECKDATE(V211:AQ211)</f>
      </c>
      <c r="AT210" s="4030"/>
      <c r="AU210" s="4030" t="str">
        <f>IF(T210="","",T210)</f>
        <v/>
      </c>
      <c r="AV210" s="4030"/>
      <c r="AW210" s="4030"/>
      <c r="AX210" s="3916">
        <v>0</v>
      </c>
    </row>
    <row s="10798" customFormat="1" customHeight="1" ht="14.25">
      <c r="A211" s="4017"/>
      <c r="B211" s="4017"/>
      <c r="C211" s="4017"/>
      <c r="D211" s="4017"/>
      <c r="E211" s="4018"/>
      <c r="F211" s="4018" t="s">
        <v>131</v>
      </c>
      <c r="G211" s="4018"/>
      <c r="H211" s="4018"/>
      <c r="I211" s="4019"/>
      <c r="J211" s="4019"/>
      <c r="K211" s="4020"/>
      <c r="L211" s="4021"/>
      <c r="M211" s="4022"/>
      <c r="N211" s="4022"/>
      <c r="O211" s="4022"/>
      <c r="P211" s="4023"/>
      <c r="Q211" s="4023"/>
      <c r="R211" s="4025"/>
      <c r="S211" s="4036"/>
      <c r="T211" s="4028"/>
      <c r="U211" s="4028"/>
      <c r="V211" s="3943"/>
      <c r="W211" s="3943"/>
      <c r="X211" s="3944" t="str">
        <f>Y210&amp;"-"&amp;AA210</f>
        <v>-</v>
      </c>
      <c r="Y211" s="3945"/>
      <c r="Z211" s="3939"/>
      <c r="AA211" s="3945"/>
      <c r="AB211" s="3939"/>
      <c r="AC211" s="3943"/>
      <c r="AD211" s="3943"/>
      <c r="AE211" s="3944" t="str">
        <f>AF210&amp;"-"&amp;AH210</f>
        <v>45658-45838</v>
      </c>
      <c r="AF211" s="3945"/>
      <c r="AG211" s="3939"/>
      <c r="AH211" s="4008"/>
      <c r="AI211" s="3939"/>
      <c r="AJ211" s="3943"/>
      <c r="AK211" s="3943"/>
      <c r="AL211" s="3944" t="str">
        <f>AM210&amp;"-"&amp;AO210</f>
        <v>45839-46022</v>
      </c>
      <c r="AM211" s="3945"/>
      <c r="AN211" s="3939"/>
      <c r="AO211" s="3945"/>
      <c r="AP211" s="3939"/>
      <c r="AQ211" s="4037"/>
      <c r="AR211" s="4034"/>
      <c r="AS211" s="3983"/>
      <c r="AT211" s="4030"/>
      <c r="AU211" s="4030" t="str">
        <f>IF(T211="","",T211)</f>
        <v/>
      </c>
      <c r="AV211" s="4030"/>
      <c r="AW211" s="4030"/>
      <c r="AX211" s="3916">
        <v>0</v>
      </c>
    </row>
    <row s="10799" customFormat="1" customHeight="1" ht="21">
      <c r="A212" s="4017"/>
      <c r="B212" s="4017"/>
      <c r="C212" s="4017"/>
      <c r="D212" s="4017"/>
      <c r="E212" s="4018"/>
      <c r="F212" s="4018" t="s">
        <v>131</v>
      </c>
      <c r="G212" s="4018"/>
      <c r="H212" s="4018"/>
      <c r="I212" s="4019"/>
      <c r="J212" s="4020"/>
      <c r="K212" s="4017"/>
      <c r="L212" s="4021"/>
      <c r="M212" s="4022"/>
      <c r="N212" s="4022"/>
      <c r="O212" s="4022"/>
      <c r="P212" s="4023"/>
      <c r="Q212" s="4023"/>
      <c r="R212" s="4039"/>
      <c r="S212" s="5325"/>
      <c r="T212" s="5326" t="s">
        <v>611</v>
      </c>
      <c r="U212" s="5327"/>
      <c r="V212" s="5328"/>
      <c r="W212" s="5329"/>
      <c r="X212" s="5330"/>
      <c r="Y212" s="5331"/>
      <c r="Z212" s="5332"/>
      <c r="AA212" s="5333"/>
      <c r="AB212" s="5334"/>
      <c r="AC212" s="5335"/>
      <c r="AD212" s="5336"/>
      <c r="AE212" s="5337"/>
      <c r="AF212" s="5338"/>
      <c r="AG212" s="5339"/>
      <c r="AH212" s="5340"/>
      <c r="AI212" s="5341"/>
      <c r="AJ212" s="5342"/>
      <c r="AK212" s="5343"/>
      <c r="AL212" s="5344"/>
      <c r="AM212" s="5345"/>
      <c r="AN212" s="5346"/>
      <c r="AO212" s="5347"/>
      <c r="AP212" s="5348"/>
      <c r="AQ212" s="5349"/>
      <c r="AR212" s="4065" t="s">
        <v>612</v>
      </c>
      <c r="AS212" s="3983"/>
      <c r="AT212" s="4030"/>
      <c r="AU212" s="4030" t="str">
        <f>IF(T212="","",T212)</f>
        <v>Добавить значение признака дифференциации</v>
      </c>
      <c r="AV212" s="4030"/>
      <c r="AW212" s="4030"/>
      <c r="AX212" s="3916">
        <v>0</v>
      </c>
    </row>
    <row s="10825" customFormat="1" customHeight="1" ht="23.25">
      <c r="A213" s="4017"/>
      <c r="B213" s="4017"/>
      <c r="C213" s="4017"/>
      <c r="D213" s="4017"/>
      <c r="E213" s="4018"/>
      <c r="F213" s="4018"/>
      <c r="G213" s="4018"/>
      <c r="H213" s="4018"/>
      <c r="I213" s="4019"/>
      <c r="J213" s="4020" t="str">
        <f>I208&amp;".2"</f>
        <v>1.9.1.1.2</v>
      </c>
      <c r="K213" s="4017"/>
      <c r="L213" s="4021" t="s">
        <v>534</v>
      </c>
      <c r="M213" s="4022"/>
      <c r="N213" s="4022"/>
      <c r="O213" s="4022"/>
      <c r="P213" s="4023"/>
      <c r="Q213" s="4024" t="s">
        <v>105</v>
      </c>
      <c r="R213" s="4025"/>
      <c r="S213" s="4026" t="str">
        <f>$J213</f>
        <v>1.9.1.1.2</v>
      </c>
      <c r="T213" s="4027" t="s">
        <v>535</v>
      </c>
      <c r="U213" s="4028"/>
      <c r="V213" s="3932"/>
      <c r="W213" s="3933"/>
      <c r="X213" s="3933"/>
      <c r="Y213" s="3933"/>
      <c r="Z213" s="3933"/>
      <c r="AA213" s="3933"/>
      <c r="AB213" s="3934"/>
      <c r="AC213" s="3932" t="s">
        <v>622</v>
      </c>
      <c r="AD213" s="3933"/>
      <c r="AE213" s="3933"/>
      <c r="AF213" s="3933"/>
      <c r="AG213" s="3933"/>
      <c r="AH213" s="3933"/>
      <c r="AI213" s="3933"/>
      <c r="AJ213" s="3932"/>
      <c r="AK213" s="3933"/>
      <c r="AL213" s="3933"/>
      <c r="AM213" s="3933"/>
      <c r="AN213" s="3933"/>
      <c r="AO213" s="3933"/>
      <c r="AP213" s="3934"/>
      <c r="AQ213" s="3934"/>
      <c r="AR213" s="4029" t="s">
        <v>610</v>
      </c>
      <c r="AS213" s="3983"/>
      <c r="AT213" s="4030"/>
      <c r="AU213" s="4030" t="str">
        <f>IF(T213="","",T213)</f>
        <v>Группа потребителей</v>
      </c>
      <c r="AV213" s="4030"/>
      <c r="AW213" s="4030"/>
      <c r="AX213" s="3916">
        <v>0</v>
      </c>
    </row>
    <row s="10826" customFormat="1" customHeight="1" ht="23.25">
      <c r="A214" s="4017"/>
      <c r="B214" s="4017"/>
      <c r="C214" s="4017"/>
      <c r="D214" s="4017"/>
      <c r="E214" s="4018"/>
      <c r="F214" s="4018"/>
      <c r="G214" s="4018"/>
      <c r="H214" s="4018"/>
      <c r="I214" s="4019"/>
      <c r="J214" s="4019" t="str">
        <f>I208&amp;".1"</f>
        <v>1.9.1.1.1</v>
      </c>
      <c r="K214" s="4020" t="str">
        <f>J213&amp;".1"</f>
        <v>1.9.1.1.2.1</v>
      </c>
      <c r="L214" s="4021"/>
      <c r="M214" s="4022"/>
      <c r="N214" s="4022"/>
      <c r="O214" s="4022"/>
      <c r="P214" s="4023"/>
      <c r="Q214" s="4023"/>
      <c r="R214" s="4025">
        <v>1</v>
      </c>
      <c r="S214" s="4026" t="str">
        <f>$K214</f>
        <v>1.9.1.1.2.1</v>
      </c>
      <c r="T214" s="4032"/>
      <c r="U214" s="4028"/>
      <c r="V214" s="3936"/>
      <c r="W214" s="3936"/>
      <c r="X214" s="3937"/>
      <c r="Y214" s="3938"/>
      <c r="Z214" s="3939" t="s">
        <v>66</v>
      </c>
      <c r="AA214" s="3938"/>
      <c r="AB214" s="3939" t="s">
        <v>66</v>
      </c>
      <c r="AC214" s="3936">
        <v>54.69</v>
      </c>
      <c r="AD214" s="3936"/>
      <c r="AE214" s="3937"/>
      <c r="AF214" s="3938">
        <v>45658</v>
      </c>
      <c r="AG214" s="3939" t="s">
        <v>66</v>
      </c>
      <c r="AH214" s="4006">
        <v>45838</v>
      </c>
      <c r="AI214" s="3939" t="s">
        <v>66</v>
      </c>
      <c r="AJ214" s="3936">
        <v>102.47</v>
      </c>
      <c r="AK214" s="3936"/>
      <c r="AL214" s="3937"/>
      <c r="AM214" s="3938">
        <v>45839</v>
      </c>
      <c r="AN214" s="3939" t="s">
        <v>66</v>
      </c>
      <c r="AO214" s="3938">
        <v>46022</v>
      </c>
      <c r="AP214" s="3939" t="s">
        <v>66</v>
      </c>
      <c r="AQ214" s="4033"/>
      <c r="AR214" s="4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214" s="3983">
        <f>STRCHECKDATE(V215:AQ215)</f>
      </c>
      <c r="AT214" s="4030"/>
      <c r="AU214" s="4030" t="str">
        <f>IF(T214="","",T214)</f>
        <v/>
      </c>
      <c r="AV214" s="4030"/>
      <c r="AW214" s="4030"/>
      <c r="AX214" s="3916">
        <v>0</v>
      </c>
    </row>
    <row s="10827" customFormat="1" customHeight="1" ht="14.25">
      <c r="A215" s="4017"/>
      <c r="B215" s="4017"/>
      <c r="C215" s="4017"/>
      <c r="D215" s="4017"/>
      <c r="E215" s="4018"/>
      <c r="F215" s="4018"/>
      <c r="G215" s="4018"/>
      <c r="H215" s="4018"/>
      <c r="I215" s="4019"/>
      <c r="J215" s="4019" t="str">
        <f>I208&amp;".1"</f>
        <v>1.9.1.1.1</v>
      </c>
      <c r="K215" s="4020"/>
      <c r="L215" s="4021"/>
      <c r="M215" s="4022"/>
      <c r="N215" s="4022"/>
      <c r="O215" s="4022"/>
      <c r="P215" s="4023"/>
      <c r="Q215" s="4023"/>
      <c r="R215" s="4025"/>
      <c r="S215" s="4036"/>
      <c r="T215" s="4028"/>
      <c r="U215" s="4028"/>
      <c r="V215" s="3943"/>
      <c r="W215" s="3943"/>
      <c r="X215" s="3944" t="str">
        <f>Y214&amp;"-"&amp;AA214</f>
        <v>-</v>
      </c>
      <c r="Y215" s="3945"/>
      <c r="Z215" s="3939"/>
      <c r="AA215" s="3945"/>
      <c r="AB215" s="3939"/>
      <c r="AC215" s="3943"/>
      <c r="AD215" s="3943"/>
      <c r="AE215" s="3944" t="str">
        <f>AF214&amp;"-"&amp;AH214</f>
        <v>45658-45838</v>
      </c>
      <c r="AF215" s="3945"/>
      <c r="AG215" s="3939"/>
      <c r="AH215" s="4008"/>
      <c r="AI215" s="3939"/>
      <c r="AJ215" s="3943"/>
      <c r="AK215" s="3943"/>
      <c r="AL215" s="3944" t="str">
        <f>AM214&amp;"-"&amp;AO214</f>
        <v>45839-46022</v>
      </c>
      <c r="AM215" s="3945"/>
      <c r="AN215" s="3939"/>
      <c r="AO215" s="3945"/>
      <c r="AP215" s="3939"/>
      <c r="AQ215" s="4037"/>
      <c r="AR215" s="4034"/>
      <c r="AS215" s="3983"/>
      <c r="AT215" s="4030"/>
      <c r="AU215" s="4030" t="str">
        <f>IF(T215="","",T215)</f>
        <v/>
      </c>
      <c r="AV215" s="4030"/>
      <c r="AW215" s="4030"/>
      <c r="AX215" s="3916">
        <v>0</v>
      </c>
    </row>
    <row s="10828" customFormat="1" customHeight="1" ht="21">
      <c r="A216" s="4017"/>
      <c r="B216" s="4017"/>
      <c r="C216" s="4017"/>
      <c r="D216" s="4017"/>
      <c r="E216" s="4018"/>
      <c r="F216" s="4018"/>
      <c r="G216" s="4018"/>
      <c r="H216" s="4018"/>
      <c r="I216" s="4019"/>
      <c r="J216" s="4020" t="str">
        <f>I208&amp;".1"</f>
        <v>1.9.1.1.1</v>
      </c>
      <c r="K216" s="4017"/>
      <c r="L216" s="4021"/>
      <c r="M216" s="4022"/>
      <c r="N216" s="4022"/>
      <c r="O216" s="4022"/>
      <c r="P216" s="4023"/>
      <c r="Q216" s="4023"/>
      <c r="R216" s="4039"/>
      <c r="S216" s="5354"/>
      <c r="T216" s="5355" t="s">
        <v>611</v>
      </c>
      <c r="U216" s="5356"/>
      <c r="V216" s="5357"/>
      <c r="W216" s="5358"/>
      <c r="X216" s="5359"/>
      <c r="Y216" s="5360"/>
      <c r="Z216" s="5361"/>
      <c r="AA216" s="5362"/>
      <c r="AB216" s="5363"/>
      <c r="AC216" s="5364"/>
      <c r="AD216" s="5365"/>
      <c r="AE216" s="5366"/>
      <c r="AF216" s="5367"/>
      <c r="AG216" s="5368"/>
      <c r="AH216" s="5369"/>
      <c r="AI216" s="5370"/>
      <c r="AJ216" s="5371"/>
      <c r="AK216" s="5372"/>
      <c r="AL216" s="5373"/>
      <c r="AM216" s="5374"/>
      <c r="AN216" s="5375"/>
      <c r="AO216" s="5376"/>
      <c r="AP216" s="5377"/>
      <c r="AQ216" s="5378"/>
      <c r="AR216" s="4065" t="s">
        <v>612</v>
      </c>
      <c r="AS216" s="3983"/>
      <c r="AT216" s="4030"/>
      <c r="AU216" s="4030" t="str">
        <f>IF(T216="","",T216)</f>
        <v>Добавить значение признака дифференциации</v>
      </c>
      <c r="AV216" s="4030"/>
      <c r="AW216" s="4030"/>
      <c r="AX216" s="3916">
        <v>0</v>
      </c>
    </row>
    <row s="10854" customFormat="1" customHeight="1" ht="23.25">
      <c r="A217" s="4017"/>
      <c r="B217" s="4017"/>
      <c r="C217" s="4017"/>
      <c r="D217" s="4017"/>
      <c r="E217" s="4018"/>
      <c r="F217" s="4018"/>
      <c r="G217" s="4018"/>
      <c r="H217" s="4018"/>
      <c r="I217" s="4019"/>
      <c r="J217" s="4020" t="str">
        <f>I208&amp;".3"</f>
        <v>1.9.1.1.3</v>
      </c>
      <c r="K217" s="4017"/>
      <c r="L217" s="4021" t="s">
        <v>534</v>
      </c>
      <c r="M217" s="4022"/>
      <c r="N217" s="4022"/>
      <c r="O217" s="4022"/>
      <c r="P217" s="4023"/>
      <c r="Q217" s="4024" t="s">
        <v>105</v>
      </c>
      <c r="R217" s="4025"/>
      <c r="S217" s="4026" t="str">
        <f>$J217</f>
        <v>1.9.1.1.3</v>
      </c>
      <c r="T217" s="4027" t="s">
        <v>535</v>
      </c>
      <c r="U217" s="4028"/>
      <c r="V217" s="3932"/>
      <c r="W217" s="3933"/>
      <c r="X217" s="3933"/>
      <c r="Y217" s="3933"/>
      <c r="Z217" s="3933"/>
      <c r="AA217" s="3933"/>
      <c r="AB217" s="3934"/>
      <c r="AC217" s="3932" t="s">
        <v>623</v>
      </c>
      <c r="AD217" s="3933"/>
      <c r="AE217" s="3933"/>
      <c r="AF217" s="3933"/>
      <c r="AG217" s="3933"/>
      <c r="AH217" s="3933"/>
      <c r="AI217" s="3933"/>
      <c r="AJ217" s="3932"/>
      <c r="AK217" s="3933"/>
      <c r="AL217" s="3933"/>
      <c r="AM217" s="3933"/>
      <c r="AN217" s="3933"/>
      <c r="AO217" s="3933"/>
      <c r="AP217" s="3934"/>
      <c r="AQ217" s="3934"/>
      <c r="AR217" s="4029" t="s">
        <v>610</v>
      </c>
      <c r="AS217" s="3983"/>
      <c r="AT217" s="4030"/>
      <c r="AU217" s="4030" t="str">
        <f>IF(T217="","",T217)</f>
        <v>Группа потребителей</v>
      </c>
      <c r="AV217" s="4030"/>
      <c r="AW217" s="4030"/>
      <c r="AX217" s="3916">
        <v>0</v>
      </c>
    </row>
    <row s="10855" customFormat="1" customHeight="1" ht="23.25">
      <c r="A218" s="4017"/>
      <c r="B218" s="4017"/>
      <c r="C218" s="4017"/>
      <c r="D218" s="4017"/>
      <c r="E218" s="4018"/>
      <c r="F218" s="4018"/>
      <c r="G218" s="4018"/>
      <c r="H218" s="4018"/>
      <c r="I218" s="4019"/>
      <c r="J218" s="4019" t="str">
        <f>I208&amp;".2"</f>
        <v>1.9.1.1.2</v>
      </c>
      <c r="K218" s="4020" t="str">
        <f>J217&amp;".1"</f>
        <v>1.9.1.1.3.1</v>
      </c>
      <c r="L218" s="4021"/>
      <c r="M218" s="4022"/>
      <c r="N218" s="4022"/>
      <c r="O218" s="4022"/>
      <c r="P218" s="4023"/>
      <c r="Q218" s="4023"/>
      <c r="R218" s="4025">
        <v>1</v>
      </c>
      <c r="S218" s="4026" t="str">
        <f>$K218</f>
        <v>1.9.1.1.3.1</v>
      </c>
      <c r="T218" s="4032"/>
      <c r="U218" s="4028"/>
      <c r="V218" s="3936"/>
      <c r="W218" s="3936"/>
      <c r="X218" s="3937"/>
      <c r="Y218" s="3938"/>
      <c r="Z218" s="3939" t="s">
        <v>66</v>
      </c>
      <c r="AA218" s="3938"/>
      <c r="AB218" s="3939" t="s">
        <v>66</v>
      </c>
      <c r="AC218" s="3936">
        <v>54.69</v>
      </c>
      <c r="AD218" s="3936"/>
      <c r="AE218" s="3937"/>
      <c r="AF218" s="3938">
        <v>45658</v>
      </c>
      <c r="AG218" s="3939" t="s">
        <v>66</v>
      </c>
      <c r="AH218" s="4006">
        <v>45838</v>
      </c>
      <c r="AI218" s="3939" t="s">
        <v>66</v>
      </c>
      <c r="AJ218" s="3936">
        <v>102.47</v>
      </c>
      <c r="AK218" s="3936"/>
      <c r="AL218" s="3937"/>
      <c r="AM218" s="3938">
        <v>45839</v>
      </c>
      <c r="AN218" s="3939" t="s">
        <v>66</v>
      </c>
      <c r="AO218" s="3938">
        <v>46022</v>
      </c>
      <c r="AP218" s="3939" t="s">
        <v>66</v>
      </c>
      <c r="AQ218" s="4033"/>
      <c r="AR218" s="4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218" s="3983">
        <f>STRCHECKDATE(V219:AQ219)</f>
      </c>
      <c r="AT218" s="4030"/>
      <c r="AU218" s="4030" t="str">
        <f>IF(T218="","",T218)</f>
        <v/>
      </c>
      <c r="AV218" s="4030"/>
      <c r="AW218" s="4030"/>
      <c r="AX218" s="3916">
        <v>0</v>
      </c>
    </row>
    <row s="10856" customFormat="1" customHeight="1" ht="14.25">
      <c r="A219" s="4017"/>
      <c r="B219" s="4017"/>
      <c r="C219" s="4017"/>
      <c r="D219" s="4017"/>
      <c r="E219" s="4018"/>
      <c r="F219" s="4018"/>
      <c r="G219" s="4018"/>
      <c r="H219" s="4018"/>
      <c r="I219" s="4019"/>
      <c r="J219" s="4019" t="str">
        <f>I208&amp;".2"</f>
        <v>1.9.1.1.2</v>
      </c>
      <c r="K219" s="4020"/>
      <c r="L219" s="4021"/>
      <c r="M219" s="4022"/>
      <c r="N219" s="4022"/>
      <c r="O219" s="4022"/>
      <c r="P219" s="4023"/>
      <c r="Q219" s="4023"/>
      <c r="R219" s="4025"/>
      <c r="S219" s="4036"/>
      <c r="T219" s="4028"/>
      <c r="U219" s="4028"/>
      <c r="V219" s="3943"/>
      <c r="W219" s="3943"/>
      <c r="X219" s="3944" t="str">
        <f>Y218&amp;"-"&amp;AA218</f>
        <v>-</v>
      </c>
      <c r="Y219" s="3945"/>
      <c r="Z219" s="3939"/>
      <c r="AA219" s="3945"/>
      <c r="AB219" s="3939"/>
      <c r="AC219" s="3943"/>
      <c r="AD219" s="3943"/>
      <c r="AE219" s="3944" t="str">
        <f>AF218&amp;"-"&amp;AH218</f>
        <v>45658-45838</v>
      </c>
      <c r="AF219" s="3945"/>
      <c r="AG219" s="3939"/>
      <c r="AH219" s="4008"/>
      <c r="AI219" s="3939"/>
      <c r="AJ219" s="3943"/>
      <c r="AK219" s="3943"/>
      <c r="AL219" s="3944" t="str">
        <f>AM218&amp;"-"&amp;AO218</f>
        <v>45839-46022</v>
      </c>
      <c r="AM219" s="3945"/>
      <c r="AN219" s="3939"/>
      <c r="AO219" s="3945"/>
      <c r="AP219" s="3939"/>
      <c r="AQ219" s="4037"/>
      <c r="AR219" s="4034"/>
      <c r="AS219" s="3983"/>
      <c r="AT219" s="4030"/>
      <c r="AU219" s="4030" t="str">
        <f>IF(T219="","",T219)</f>
        <v/>
      </c>
      <c r="AV219" s="4030"/>
      <c r="AW219" s="4030"/>
      <c r="AX219" s="3916">
        <v>0</v>
      </c>
    </row>
    <row s="10857" customFormat="1" customHeight="1" ht="21">
      <c r="A220" s="4017"/>
      <c r="B220" s="4017"/>
      <c r="C220" s="4017"/>
      <c r="D220" s="4017"/>
      <c r="E220" s="4018"/>
      <c r="F220" s="4018"/>
      <c r="G220" s="4018"/>
      <c r="H220" s="4018"/>
      <c r="I220" s="4019"/>
      <c r="J220" s="4020" t="str">
        <f>I208&amp;".2"</f>
        <v>1.9.1.1.2</v>
      </c>
      <c r="K220" s="4017"/>
      <c r="L220" s="4021"/>
      <c r="M220" s="4022"/>
      <c r="N220" s="4022"/>
      <c r="O220" s="4022"/>
      <c r="P220" s="4023"/>
      <c r="Q220" s="4023"/>
      <c r="R220" s="4039"/>
      <c r="S220" s="5383"/>
      <c r="T220" s="5384" t="s">
        <v>611</v>
      </c>
      <c r="U220" s="5385"/>
      <c r="V220" s="5386"/>
      <c r="W220" s="5387"/>
      <c r="X220" s="5388"/>
      <c r="Y220" s="5389"/>
      <c r="Z220" s="5390"/>
      <c r="AA220" s="5391"/>
      <c r="AB220" s="5392"/>
      <c r="AC220" s="5393"/>
      <c r="AD220" s="5394"/>
      <c r="AE220" s="5395"/>
      <c r="AF220" s="5396"/>
      <c r="AG220" s="5397"/>
      <c r="AH220" s="5398"/>
      <c r="AI220" s="5399"/>
      <c r="AJ220" s="5400"/>
      <c r="AK220" s="5401"/>
      <c r="AL220" s="5402"/>
      <c r="AM220" s="5403"/>
      <c r="AN220" s="5404"/>
      <c r="AO220" s="5405"/>
      <c r="AP220" s="5406"/>
      <c r="AQ220" s="5407"/>
      <c r="AR220" s="4065" t="s">
        <v>612</v>
      </c>
      <c r="AS220" s="3983"/>
      <c r="AT220" s="4030"/>
      <c r="AU220" s="4030" t="str">
        <f>IF(T220="","",T220)</f>
        <v>Добавить значение признака дифференциации</v>
      </c>
      <c r="AV220" s="4030"/>
      <c r="AW220" s="4030"/>
      <c r="AX220" s="3916">
        <v>0</v>
      </c>
    </row>
    <row s="10883" customFormat="1" customHeight="1" ht="21">
      <c r="A221" s="4017"/>
      <c r="B221" s="4017"/>
      <c r="C221" s="4017"/>
      <c r="D221" s="4017"/>
      <c r="E221" s="4018"/>
      <c r="F221" s="4018" t="s">
        <v>131</v>
      </c>
      <c r="G221" s="4018"/>
      <c r="H221" s="4018"/>
      <c r="I221" s="4020"/>
      <c r="J221" s="4017"/>
      <c r="K221" s="4017"/>
      <c r="L221" s="4021"/>
      <c r="M221" s="4022"/>
      <c r="N221" s="4022"/>
      <c r="O221" s="4022"/>
      <c r="P221" s="4023"/>
      <c r="Q221" s="4023"/>
      <c r="R221" s="4039"/>
      <c r="S221" s="5409"/>
      <c r="T221" s="5410" t="s">
        <v>540</v>
      </c>
      <c r="U221" s="5411"/>
      <c r="V221" s="5412"/>
      <c r="W221" s="5413"/>
      <c r="X221" s="5414"/>
      <c r="Y221" s="5415"/>
      <c r="Z221" s="5416"/>
      <c r="AA221" s="5417"/>
      <c r="AB221" s="5418"/>
      <c r="AC221" s="5419"/>
      <c r="AD221" s="5420"/>
      <c r="AE221" s="5421"/>
      <c r="AF221" s="5422"/>
      <c r="AG221" s="5423"/>
      <c r="AH221" s="5424"/>
      <c r="AI221" s="5425"/>
      <c r="AJ221" s="5426"/>
      <c r="AK221" s="5427"/>
      <c r="AL221" s="5428"/>
      <c r="AM221" s="5429"/>
      <c r="AN221" s="5430"/>
      <c r="AO221" s="5431"/>
      <c r="AP221" s="5432"/>
      <c r="AQ221" s="5433"/>
      <c r="AR221" s="5434"/>
      <c r="AS221" s="3983"/>
      <c r="AT221" s="4030"/>
      <c r="AU221" s="4030" t="str">
        <f>IF(T221="","",T221)</f>
        <v>Добавить группу потребителей</v>
      </c>
      <c r="AV221" s="4030"/>
      <c r="AW221" s="4030"/>
      <c r="AX221" s="3916">
        <v>0</v>
      </c>
    </row>
    <row s="10910" customFormat="1" customHeight="1" ht="14.25">
      <c r="A222" s="4017"/>
      <c r="B222" s="4017"/>
      <c r="C222" s="4017"/>
      <c r="D222" s="4017"/>
      <c r="E222" s="4018"/>
      <c r="F222" s="4018" t="s">
        <v>131</v>
      </c>
      <c r="G222" s="4018"/>
      <c r="H222" s="4110"/>
      <c r="I222" s="4017"/>
      <c r="J222" s="4017"/>
      <c r="K222" s="4017"/>
      <c r="L222" s="4021"/>
      <c r="M222" s="4111"/>
      <c r="N222" s="4111"/>
      <c r="O222" s="3973"/>
      <c r="P222" s="4239"/>
      <c r="Q222" s="4240"/>
      <c r="R222" s="4241"/>
      <c r="S222" s="5436"/>
      <c r="T222" s="5437" t="s">
        <v>613</v>
      </c>
      <c r="U222" s="5438"/>
      <c r="V222" s="5439"/>
      <c r="W222" s="5440"/>
      <c r="X222" s="5441"/>
      <c r="Y222" s="5442"/>
      <c r="Z222" s="5443"/>
      <c r="AA222" s="5444"/>
      <c r="AB222" s="5445"/>
      <c r="AC222" s="5446"/>
      <c r="AD222" s="5447"/>
      <c r="AE222" s="5448"/>
      <c r="AF222" s="5449"/>
      <c r="AG222" s="5450"/>
      <c r="AH222" s="5451"/>
      <c r="AI222" s="5452"/>
      <c r="AJ222" s="5453"/>
      <c r="AK222" s="5454"/>
      <c r="AL222" s="5455"/>
      <c r="AM222" s="5456"/>
      <c r="AN222" s="5457"/>
      <c r="AO222" s="5458"/>
      <c r="AP222" s="5459"/>
      <c r="AQ222" s="5460"/>
      <c r="AR222" s="5461"/>
      <c r="AS222" s="3983"/>
      <c r="AT222" s="4030"/>
      <c r="AU222" s="4030" t="str">
        <f>IF(T222="","",T222)</f>
        <v>Добавить наименование признака дифференциации</v>
      </c>
      <c r="AV222" s="4030"/>
      <c r="AW222" s="4030"/>
      <c r="AX222" s="3916">
        <v>0</v>
      </c>
    </row>
    <row s="10937" customFormat="1" customHeight="1" ht="14.25">
      <c r="A223" s="4269"/>
      <c r="B223" s="4269"/>
      <c r="C223" s="4269"/>
      <c r="D223" s="4269"/>
      <c r="E223" s="4018"/>
      <c r="F223" s="4110" t="s">
        <v>131</v>
      </c>
      <c r="G223" s="4269"/>
      <c r="H223" s="4269"/>
      <c r="I223" s="4269"/>
      <c r="J223" s="4269"/>
      <c r="K223" s="4269"/>
      <c r="L223" s="4270"/>
      <c r="M223" s="4271"/>
      <c r="N223" s="4271"/>
      <c r="O223" s="3983"/>
      <c r="P223" s="4272"/>
      <c r="Q223" s="4273"/>
      <c r="R223" s="4272"/>
      <c r="S223" s="4274"/>
      <c r="T223" s="4275" t="s">
        <v>298</v>
      </c>
      <c r="U223" s="3971"/>
      <c r="V223" s="3971"/>
      <c r="W223" s="3971"/>
      <c r="X223" s="3971"/>
      <c r="Y223" s="3971"/>
      <c r="Z223" s="3971"/>
      <c r="AA223" s="3971"/>
      <c r="AB223" s="3971"/>
      <c r="AC223" s="3971"/>
      <c r="AD223" s="3971"/>
      <c r="AE223" s="3971"/>
      <c r="AF223" s="3971"/>
      <c r="AG223" s="3971"/>
      <c r="AH223" s="3971"/>
      <c r="AI223" s="3971"/>
      <c r="AJ223" s="3971"/>
      <c r="AK223" s="3971"/>
      <c r="AL223" s="3971"/>
      <c r="AM223" s="3971"/>
      <c r="AN223" s="3971"/>
      <c r="AO223" s="3971"/>
      <c r="AP223" s="3971"/>
      <c r="AQ223" s="3971"/>
      <c r="AR223" s="3971"/>
      <c r="AS223" s="3983"/>
      <c r="AT223" s="4030"/>
      <c r="AU223" s="4030" t="str">
        <f>IF(T223="","",T223)</f>
        <v>Добавить централизованную систему для дифференциации</v>
      </c>
      <c r="AV223" s="4030"/>
      <c r="AW223" s="4030"/>
      <c r="AX223" s="3983">
        <v>0</v>
      </c>
    </row>
    <row s="10938" customFormat="1" customHeight="1" ht="23.25">
      <c r="A224" s="4017"/>
      <c r="B224" s="4017" t="s">
        <v>327</v>
      </c>
      <c r="C224" s="4017"/>
      <c r="D224" s="4017"/>
      <c r="E224" s="4018"/>
      <c r="F224" s="4110" t="s">
        <v>141</v>
      </c>
      <c r="G224" s="4017"/>
      <c r="H224" s="4017"/>
      <c r="I224" s="4017"/>
      <c r="J224" s="4017"/>
      <c r="K224" s="4017"/>
      <c r="L224" s="4021"/>
      <c r="M224" s="4111"/>
      <c r="N224" s="4111"/>
      <c r="O224" s="4111"/>
      <c r="P224" s="4112"/>
      <c r="Q224" s="4113"/>
      <c r="R224" s="4114"/>
      <c r="S224" s="4026" t="str">
        <f>INDEX(PT_DIFFERENTIATION_NUM_TER,MATCH(B224,PT_DIFFERENTIATION_TER_ID,0))</f>
        <v>1.10</v>
      </c>
      <c r="T224" s="4115" t="s">
        <v>525</v>
      </c>
      <c r="U224" s="4028"/>
      <c r="V224" s="3918"/>
      <c r="W224" s="3919"/>
      <c r="X224" s="3919"/>
      <c r="Y224" s="3919"/>
      <c r="Z224" s="3919"/>
      <c r="AA224" s="3919"/>
      <c r="AB224" s="3920"/>
      <c r="AC224" s="3918" t="str">
        <f>INDEX(PT_DIFFERENTIATION_TER,MATCH(B224,PT_DIFFERENTIATION_TER_ID,0))</f>
        <v>Территория 10</v>
      </c>
      <c r="AD224" s="3919"/>
      <c r="AE224" s="3919"/>
      <c r="AF224" s="3919"/>
      <c r="AG224" s="3919"/>
      <c r="AH224" s="3919"/>
      <c r="AI224" s="3919"/>
      <c r="AJ224" s="3918"/>
      <c r="AK224" s="3919"/>
      <c r="AL224" s="3919"/>
      <c r="AM224" s="3919"/>
      <c r="AN224" s="3919"/>
      <c r="AO224" s="3919"/>
      <c r="AP224" s="3920"/>
      <c r="AQ224" s="3920"/>
      <c r="AR224" s="4065" t="s">
        <v>526</v>
      </c>
      <c r="AS224" s="3983"/>
      <c r="AT224" s="4030"/>
      <c r="AU224" s="4030" t="str">
        <f>IF(T224="","",T224)</f>
        <v>Территория действия тарифа</v>
      </c>
      <c r="AV224" s="4030"/>
      <c r="AW224" s="4030"/>
      <c r="AX224" s="3916">
        <v>0</v>
      </c>
    </row>
    <row s="10939" customFormat="1" customHeight="1" ht="23.25">
      <c r="A225" s="4017"/>
      <c r="B225" s="4017"/>
      <c r="C225" s="4017" t="s">
        <v>328</v>
      </c>
      <c r="D225" s="4017"/>
      <c r="E225" s="4018"/>
      <c r="F225" s="4018" t="s">
        <v>136</v>
      </c>
      <c r="G225" s="4110">
        <v>1</v>
      </c>
      <c r="H225" s="4017"/>
      <c r="I225" s="4017"/>
      <c r="J225" s="4017"/>
      <c r="K225" s="4017"/>
      <c r="L225" s="4021"/>
      <c r="M225" s="4111"/>
      <c r="N225" s="4111"/>
      <c r="O225" s="4111"/>
      <c r="P225" s="4117"/>
      <c r="Q225" s="4113"/>
      <c r="R225" s="4114"/>
      <c r="S225" s="4026" t="str">
        <f>INDEX(PT_DIFFERENTIATION_NUM_CS,MATCH(C225,PT_DIFFERENTIATION_CS_ID,0))</f>
        <v>1.10.1</v>
      </c>
      <c r="T225" s="4118" t="s">
        <v>606</v>
      </c>
      <c r="U225" s="4028"/>
      <c r="V225" s="3918"/>
      <c r="W225" s="3919"/>
      <c r="X225" s="3919"/>
      <c r="Y225" s="3919"/>
      <c r="Z225" s="3919"/>
      <c r="AA225" s="3919"/>
      <c r="AB225" s="3920"/>
      <c r="AC225" s="3918" t="str">
        <f>INDEX(PT_DIFFERENTIATION_CS,MATCH(C225,PT_DIFFERENTIATION_CS_ID,0))</f>
        <v>без дифференциации</v>
      </c>
      <c r="AD225" s="3919"/>
      <c r="AE225" s="3919"/>
      <c r="AF225" s="3919"/>
      <c r="AG225" s="3919"/>
      <c r="AH225" s="3919"/>
      <c r="AI225" s="3919"/>
      <c r="AJ225" s="3918"/>
      <c r="AK225" s="3919"/>
      <c r="AL225" s="3919"/>
      <c r="AM225" s="3919"/>
      <c r="AN225" s="3919"/>
      <c r="AO225" s="3919"/>
      <c r="AP225" s="3920"/>
      <c r="AQ225" s="3920"/>
      <c r="AR225" s="4065" t="s">
        <v>607</v>
      </c>
      <c r="AS225" s="3983"/>
      <c r="AT225" s="4030"/>
      <c r="AU225" s="4030" t="str">
        <f>IF(T225="","",T225)</f>
        <v>Наименование централизованной системы холодного водоснабжения</v>
      </c>
      <c r="AV225" s="4030"/>
      <c r="AW225" s="4030"/>
      <c r="AX225" s="3916">
        <v>0</v>
      </c>
    </row>
    <row s="10940" customFormat="1" customHeight="1" ht="23.25">
      <c r="A226" s="4017"/>
      <c r="B226" s="4017"/>
      <c r="C226" s="4017"/>
      <c r="D226" s="4017"/>
      <c r="E226" s="4018"/>
      <c r="F226" s="4018" t="s">
        <v>136</v>
      </c>
      <c r="G226" s="4018"/>
      <c r="H226" s="4018"/>
      <c r="I226" s="4020" t="str">
        <f>S225&amp;".1"</f>
        <v>1.10.1.1</v>
      </c>
      <c r="J226" s="4017"/>
      <c r="K226" s="4017"/>
      <c r="L226" s="4021"/>
      <c r="M226" s="4022"/>
      <c r="N226" s="4022"/>
      <c r="O226" s="4022"/>
      <c r="P226" s="4023">
        <v>1</v>
      </c>
      <c r="Q226" s="4023"/>
      <c r="R226" s="4039"/>
      <c r="S226" s="4026" t="str">
        <f>$I226</f>
        <v>1.10.1.1</v>
      </c>
      <c r="T226" s="4120" t="s">
        <v>608</v>
      </c>
      <c r="U226" s="4028"/>
      <c r="V226" s="3928"/>
      <c r="W226" s="3929"/>
      <c r="X226" s="3929"/>
      <c r="Y226" s="3929"/>
      <c r="Z226" s="3929"/>
      <c r="AA226" s="3929"/>
      <c r="AB226" s="3930"/>
      <c r="AC226" s="4121"/>
      <c r="AD226" s="4122"/>
      <c r="AE226" s="4122"/>
      <c r="AF226" s="4122"/>
      <c r="AG226" s="4122"/>
      <c r="AH226" s="4122"/>
      <c r="AI226" s="4122"/>
      <c r="AJ226" s="3928"/>
      <c r="AK226" s="3929"/>
      <c r="AL226" s="3929"/>
      <c r="AM226" s="3929"/>
      <c r="AN226" s="3929"/>
      <c r="AO226" s="3929"/>
      <c r="AP226" s="3930"/>
      <c r="AQ226" s="4123"/>
      <c r="AR226" s="4065" t="s">
        <v>609</v>
      </c>
      <c r="AS226" s="3983"/>
      <c r="AT226" s="4030"/>
      <c r="AU226" s="4030" t="str">
        <f>IF(T226="","",T226)</f>
        <v>Наименование признака дифференциации</v>
      </c>
      <c r="AV226" s="4030"/>
      <c r="AW226" s="4030"/>
      <c r="AX226" s="3916">
        <v>0</v>
      </c>
    </row>
    <row s="10941" customFormat="1" customHeight="1" ht="23.25">
      <c r="A227" s="4017"/>
      <c r="B227" s="4017"/>
      <c r="C227" s="4017"/>
      <c r="D227" s="4017"/>
      <c r="E227" s="4018"/>
      <c r="F227" s="4018" t="s">
        <v>136</v>
      </c>
      <c r="G227" s="4018"/>
      <c r="H227" s="4018"/>
      <c r="I227" s="4019"/>
      <c r="J227" s="4020" t="str">
        <f>I226&amp;".1"</f>
        <v>1.10.1.1.1</v>
      </c>
      <c r="K227" s="4017"/>
      <c r="L227" s="4021" t="s">
        <v>534</v>
      </c>
      <c r="M227" s="4022"/>
      <c r="N227" s="4022"/>
      <c r="O227" s="4022"/>
      <c r="P227" s="4023"/>
      <c r="Q227" s="4023">
        <v>1</v>
      </c>
      <c r="R227" s="4025"/>
      <c r="S227" s="4026" t="str">
        <f>$J227</f>
        <v>1.10.1.1.1</v>
      </c>
      <c r="T227" s="4027" t="s">
        <v>535</v>
      </c>
      <c r="U227" s="4028"/>
      <c r="V227" s="3932"/>
      <c r="W227" s="3933"/>
      <c r="X227" s="3933"/>
      <c r="Y227" s="3933"/>
      <c r="Z227" s="3933"/>
      <c r="AA227" s="3933"/>
      <c r="AB227" s="3934"/>
      <c r="AC227" s="3932" t="s">
        <v>621</v>
      </c>
      <c r="AD227" s="3933"/>
      <c r="AE227" s="3933"/>
      <c r="AF227" s="3933"/>
      <c r="AG227" s="3933"/>
      <c r="AH227" s="3933"/>
      <c r="AI227" s="3933"/>
      <c r="AJ227" s="3932"/>
      <c r="AK227" s="3933"/>
      <c r="AL227" s="3933"/>
      <c r="AM227" s="3933"/>
      <c r="AN227" s="3933"/>
      <c r="AO227" s="3933"/>
      <c r="AP227" s="3934"/>
      <c r="AQ227" s="3934"/>
      <c r="AR227" s="4029" t="s">
        <v>610</v>
      </c>
      <c r="AS227" s="3983"/>
      <c r="AT227" s="4030"/>
      <c r="AU227" s="4030" t="str">
        <f>IF(T227="","",T227)</f>
        <v>Группа потребителей</v>
      </c>
      <c r="AV227" s="4030"/>
      <c r="AW227" s="4030"/>
      <c r="AX227" s="3916">
        <v>0</v>
      </c>
    </row>
    <row s="10942" customFormat="1" customHeight="1" ht="23.25">
      <c r="A228" s="4017"/>
      <c r="B228" s="4017"/>
      <c r="C228" s="4017"/>
      <c r="D228" s="4017"/>
      <c r="E228" s="4018"/>
      <c r="F228" s="4018" t="s">
        <v>136</v>
      </c>
      <c r="G228" s="4018"/>
      <c r="H228" s="4018"/>
      <c r="I228" s="4019"/>
      <c r="J228" s="4019"/>
      <c r="K228" s="4020" t="str">
        <f>J227&amp;".1"</f>
        <v>1.10.1.1.1.1</v>
      </c>
      <c r="L228" s="4021"/>
      <c r="M228" s="4022"/>
      <c r="N228" s="4022"/>
      <c r="O228" s="4022"/>
      <c r="P228" s="4023"/>
      <c r="Q228" s="4023"/>
      <c r="R228" s="4025">
        <v>1</v>
      </c>
      <c r="S228" s="4026" t="str">
        <f>$K228</f>
        <v>1.10.1.1.1.1</v>
      </c>
      <c r="T228" s="4032"/>
      <c r="U228" s="4028"/>
      <c r="V228" s="3936"/>
      <c r="W228" s="3936"/>
      <c r="X228" s="3937"/>
      <c r="Y228" s="3938"/>
      <c r="Z228" s="3939" t="s">
        <v>66</v>
      </c>
      <c r="AA228" s="3938"/>
      <c r="AB228" s="3939" t="s">
        <v>66</v>
      </c>
      <c r="AC228" s="3936">
        <v>53.72</v>
      </c>
      <c r="AD228" s="3936"/>
      <c r="AE228" s="3937"/>
      <c r="AF228" s="3938">
        <v>45658</v>
      </c>
      <c r="AG228" s="3939" t="s">
        <v>66</v>
      </c>
      <c r="AH228" s="4006">
        <v>45838</v>
      </c>
      <c r="AI228" s="3939" t="s">
        <v>66</v>
      </c>
      <c r="AJ228" s="3936">
        <v>58.02</v>
      </c>
      <c r="AK228" s="3936"/>
      <c r="AL228" s="3937"/>
      <c r="AM228" s="3938">
        <v>45839</v>
      </c>
      <c r="AN228" s="3939" t="s">
        <v>66</v>
      </c>
      <c r="AO228" s="3938">
        <v>46022</v>
      </c>
      <c r="AP228" s="3939" t="s">
        <v>66</v>
      </c>
      <c r="AQ228" s="4033"/>
      <c r="AR228" s="4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228" s="3983">
        <f>STRCHECKDATE(V229:AQ229)</f>
      </c>
      <c r="AT228" s="4030"/>
      <c r="AU228" s="4030" t="str">
        <f>IF(T228="","",T228)</f>
        <v/>
      </c>
      <c r="AV228" s="4030"/>
      <c r="AW228" s="4030"/>
      <c r="AX228" s="3916">
        <v>0</v>
      </c>
    </row>
    <row s="10943" customFormat="1" customHeight="1" ht="14.25">
      <c r="A229" s="4017"/>
      <c r="B229" s="4017"/>
      <c r="C229" s="4017"/>
      <c r="D229" s="4017"/>
      <c r="E229" s="4018"/>
      <c r="F229" s="4018" t="s">
        <v>136</v>
      </c>
      <c r="G229" s="4018"/>
      <c r="H229" s="4018"/>
      <c r="I229" s="4019"/>
      <c r="J229" s="4019"/>
      <c r="K229" s="4020"/>
      <c r="L229" s="4021"/>
      <c r="M229" s="4022"/>
      <c r="N229" s="4022"/>
      <c r="O229" s="4022"/>
      <c r="P229" s="4023"/>
      <c r="Q229" s="4023"/>
      <c r="R229" s="4025"/>
      <c r="S229" s="4036"/>
      <c r="T229" s="4028"/>
      <c r="U229" s="4028"/>
      <c r="V229" s="3943"/>
      <c r="W229" s="3943"/>
      <c r="X229" s="3944" t="str">
        <f>Y228&amp;"-"&amp;AA228</f>
        <v>-</v>
      </c>
      <c r="Y229" s="3945"/>
      <c r="Z229" s="3939"/>
      <c r="AA229" s="3945"/>
      <c r="AB229" s="3939"/>
      <c r="AC229" s="3943"/>
      <c r="AD229" s="3943"/>
      <c r="AE229" s="3944" t="str">
        <f>AF228&amp;"-"&amp;AH228</f>
        <v>45658-45838</v>
      </c>
      <c r="AF229" s="3945"/>
      <c r="AG229" s="3939"/>
      <c r="AH229" s="4008"/>
      <c r="AI229" s="3939"/>
      <c r="AJ229" s="3943"/>
      <c r="AK229" s="3943"/>
      <c r="AL229" s="3944" t="str">
        <f>AM228&amp;"-"&amp;AO228</f>
        <v>45839-46022</v>
      </c>
      <c r="AM229" s="3945"/>
      <c r="AN229" s="3939"/>
      <c r="AO229" s="3945"/>
      <c r="AP229" s="3939"/>
      <c r="AQ229" s="4037"/>
      <c r="AR229" s="4034"/>
      <c r="AS229" s="3983"/>
      <c r="AT229" s="4030"/>
      <c r="AU229" s="4030" t="str">
        <f>IF(T229="","",T229)</f>
        <v/>
      </c>
      <c r="AV229" s="4030"/>
      <c r="AW229" s="4030"/>
      <c r="AX229" s="3916">
        <v>0</v>
      </c>
    </row>
    <row s="10944" customFormat="1" customHeight="1" ht="21">
      <c r="A230" s="4017"/>
      <c r="B230" s="4017"/>
      <c r="C230" s="4017"/>
      <c r="D230" s="4017"/>
      <c r="E230" s="4018"/>
      <c r="F230" s="4018" t="s">
        <v>136</v>
      </c>
      <c r="G230" s="4018"/>
      <c r="H230" s="4018"/>
      <c r="I230" s="4019"/>
      <c r="J230" s="4020"/>
      <c r="K230" s="4017"/>
      <c r="L230" s="4021"/>
      <c r="M230" s="4022"/>
      <c r="N230" s="4022"/>
      <c r="O230" s="4022"/>
      <c r="P230" s="4023"/>
      <c r="Q230" s="4023"/>
      <c r="R230" s="4039"/>
      <c r="S230" s="5470"/>
      <c r="T230" s="5471" t="s">
        <v>611</v>
      </c>
      <c r="U230" s="5472"/>
      <c r="V230" s="5473"/>
      <c r="W230" s="5474"/>
      <c r="X230" s="5475"/>
      <c r="Y230" s="5476"/>
      <c r="Z230" s="5477"/>
      <c r="AA230" s="5478"/>
      <c r="AB230" s="5479"/>
      <c r="AC230" s="5480"/>
      <c r="AD230" s="5481"/>
      <c r="AE230" s="5482"/>
      <c r="AF230" s="5483"/>
      <c r="AG230" s="5484"/>
      <c r="AH230" s="5485"/>
      <c r="AI230" s="5486"/>
      <c r="AJ230" s="5487"/>
      <c r="AK230" s="5488"/>
      <c r="AL230" s="5489"/>
      <c r="AM230" s="5490"/>
      <c r="AN230" s="5491"/>
      <c r="AO230" s="5492"/>
      <c r="AP230" s="5493"/>
      <c r="AQ230" s="5494"/>
      <c r="AR230" s="4065" t="s">
        <v>612</v>
      </c>
      <c r="AS230" s="3983"/>
      <c r="AT230" s="4030"/>
      <c r="AU230" s="4030" t="str">
        <f>IF(T230="","",T230)</f>
        <v>Добавить значение признака дифференциации</v>
      </c>
      <c r="AV230" s="4030"/>
      <c r="AW230" s="4030"/>
      <c r="AX230" s="3916">
        <v>0</v>
      </c>
    </row>
    <row s="10970" customFormat="1" customHeight="1" ht="23.25">
      <c r="A231" s="4017"/>
      <c r="B231" s="4017"/>
      <c r="C231" s="4017"/>
      <c r="D231" s="4017"/>
      <c r="E231" s="4018"/>
      <c r="F231" s="4018"/>
      <c r="G231" s="4018"/>
      <c r="H231" s="4018"/>
      <c r="I231" s="4019"/>
      <c r="J231" s="4020" t="str">
        <f>I226&amp;".2"</f>
        <v>1.10.1.1.2</v>
      </c>
      <c r="K231" s="4017"/>
      <c r="L231" s="4021" t="s">
        <v>534</v>
      </c>
      <c r="M231" s="4022"/>
      <c r="N231" s="4022"/>
      <c r="O231" s="4022"/>
      <c r="P231" s="4023"/>
      <c r="Q231" s="4024" t="s">
        <v>105</v>
      </c>
      <c r="R231" s="4025"/>
      <c r="S231" s="4026" t="str">
        <f>$J231</f>
        <v>1.10.1.1.2</v>
      </c>
      <c r="T231" s="4027" t="s">
        <v>535</v>
      </c>
      <c r="U231" s="4028"/>
      <c r="V231" s="3932"/>
      <c r="W231" s="3933"/>
      <c r="X231" s="3933"/>
      <c r="Y231" s="3933"/>
      <c r="Z231" s="3933"/>
      <c r="AA231" s="3933"/>
      <c r="AB231" s="3934"/>
      <c r="AC231" s="3932" t="s">
        <v>622</v>
      </c>
      <c r="AD231" s="3933"/>
      <c r="AE231" s="3933"/>
      <c r="AF231" s="3933"/>
      <c r="AG231" s="3933"/>
      <c r="AH231" s="3933"/>
      <c r="AI231" s="3933"/>
      <c r="AJ231" s="3932"/>
      <c r="AK231" s="3933"/>
      <c r="AL231" s="3933"/>
      <c r="AM231" s="3933"/>
      <c r="AN231" s="3933"/>
      <c r="AO231" s="3933"/>
      <c r="AP231" s="3934"/>
      <c r="AQ231" s="3934"/>
      <c r="AR231" s="4029" t="s">
        <v>610</v>
      </c>
      <c r="AS231" s="3983"/>
      <c r="AT231" s="4030"/>
      <c r="AU231" s="4030" t="str">
        <f>IF(T231="","",T231)</f>
        <v>Группа потребителей</v>
      </c>
      <c r="AV231" s="4030"/>
      <c r="AW231" s="4030"/>
      <c r="AX231" s="3916">
        <v>0</v>
      </c>
    </row>
    <row s="10971" customFormat="1" customHeight="1" ht="23.25">
      <c r="A232" s="4017"/>
      <c r="B232" s="4017"/>
      <c r="C232" s="4017"/>
      <c r="D232" s="4017"/>
      <c r="E232" s="4018"/>
      <c r="F232" s="4018"/>
      <c r="G232" s="4018"/>
      <c r="H232" s="4018"/>
      <c r="I232" s="4019"/>
      <c r="J232" s="4019" t="str">
        <f>I226&amp;".1"</f>
        <v>1.10.1.1.1</v>
      </c>
      <c r="K232" s="4020" t="str">
        <f>J231&amp;".1"</f>
        <v>1.10.1.1.2.1</v>
      </c>
      <c r="L232" s="4021"/>
      <c r="M232" s="4022"/>
      <c r="N232" s="4022"/>
      <c r="O232" s="4022"/>
      <c r="P232" s="4023"/>
      <c r="Q232" s="4023"/>
      <c r="R232" s="4025">
        <v>1</v>
      </c>
      <c r="S232" s="4026" t="str">
        <f>$K232</f>
        <v>1.10.1.1.2.1</v>
      </c>
      <c r="T232" s="4032"/>
      <c r="U232" s="4028"/>
      <c r="V232" s="3936"/>
      <c r="W232" s="3936"/>
      <c r="X232" s="3937"/>
      <c r="Y232" s="3938"/>
      <c r="Z232" s="3939" t="s">
        <v>66</v>
      </c>
      <c r="AA232" s="3938"/>
      <c r="AB232" s="3939" t="s">
        <v>66</v>
      </c>
      <c r="AC232" s="3936">
        <v>54.69</v>
      </c>
      <c r="AD232" s="3936"/>
      <c r="AE232" s="3937"/>
      <c r="AF232" s="3938">
        <v>45658</v>
      </c>
      <c r="AG232" s="3939" t="s">
        <v>66</v>
      </c>
      <c r="AH232" s="4006">
        <v>45838</v>
      </c>
      <c r="AI232" s="3939" t="s">
        <v>66</v>
      </c>
      <c r="AJ232" s="3936">
        <v>102.47</v>
      </c>
      <c r="AK232" s="3936"/>
      <c r="AL232" s="3937"/>
      <c r="AM232" s="3938">
        <v>45839</v>
      </c>
      <c r="AN232" s="3939" t="s">
        <v>66</v>
      </c>
      <c r="AO232" s="3938">
        <v>46022</v>
      </c>
      <c r="AP232" s="3939" t="s">
        <v>66</v>
      </c>
      <c r="AQ232" s="4033"/>
      <c r="AR232" s="4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232" s="3983">
        <f>STRCHECKDATE(V233:AQ233)</f>
      </c>
      <c r="AT232" s="4030"/>
      <c r="AU232" s="4030" t="str">
        <f>IF(T232="","",T232)</f>
        <v/>
      </c>
      <c r="AV232" s="4030"/>
      <c r="AW232" s="4030"/>
      <c r="AX232" s="3916">
        <v>0</v>
      </c>
    </row>
    <row s="10972" customFormat="1" customHeight="1" ht="14.25">
      <c r="A233" s="4017"/>
      <c r="B233" s="4017"/>
      <c r="C233" s="4017"/>
      <c r="D233" s="4017"/>
      <c r="E233" s="4018"/>
      <c r="F233" s="4018"/>
      <c r="G233" s="4018"/>
      <c r="H233" s="4018"/>
      <c r="I233" s="4019"/>
      <c r="J233" s="4019" t="str">
        <f>I226&amp;".1"</f>
        <v>1.10.1.1.1</v>
      </c>
      <c r="K233" s="4020"/>
      <c r="L233" s="4021"/>
      <c r="M233" s="4022"/>
      <c r="N233" s="4022"/>
      <c r="O233" s="4022"/>
      <c r="P233" s="4023"/>
      <c r="Q233" s="4023"/>
      <c r="R233" s="4025"/>
      <c r="S233" s="4036"/>
      <c r="T233" s="4028"/>
      <c r="U233" s="4028"/>
      <c r="V233" s="3943"/>
      <c r="W233" s="3943"/>
      <c r="X233" s="3944" t="str">
        <f>Y232&amp;"-"&amp;AA232</f>
        <v>-</v>
      </c>
      <c r="Y233" s="3945"/>
      <c r="Z233" s="3939"/>
      <c r="AA233" s="3945"/>
      <c r="AB233" s="3939"/>
      <c r="AC233" s="3943"/>
      <c r="AD233" s="3943"/>
      <c r="AE233" s="3944" t="str">
        <f>AF232&amp;"-"&amp;AH232</f>
        <v>45658-45838</v>
      </c>
      <c r="AF233" s="3945"/>
      <c r="AG233" s="3939"/>
      <c r="AH233" s="4008"/>
      <c r="AI233" s="3939"/>
      <c r="AJ233" s="3943"/>
      <c r="AK233" s="3943"/>
      <c r="AL233" s="3944" t="str">
        <f>AM232&amp;"-"&amp;AO232</f>
        <v>45839-46022</v>
      </c>
      <c r="AM233" s="3945"/>
      <c r="AN233" s="3939"/>
      <c r="AO233" s="3945"/>
      <c r="AP233" s="3939"/>
      <c r="AQ233" s="4037"/>
      <c r="AR233" s="4034"/>
      <c r="AS233" s="3983"/>
      <c r="AT233" s="4030"/>
      <c r="AU233" s="4030" t="str">
        <f>IF(T233="","",T233)</f>
        <v/>
      </c>
      <c r="AV233" s="4030"/>
      <c r="AW233" s="4030"/>
      <c r="AX233" s="3916">
        <v>0</v>
      </c>
    </row>
    <row s="10973" customFormat="1" customHeight="1" ht="21">
      <c r="A234" s="4017"/>
      <c r="B234" s="4017"/>
      <c r="C234" s="4017"/>
      <c r="D234" s="4017"/>
      <c r="E234" s="4018"/>
      <c r="F234" s="4018"/>
      <c r="G234" s="4018"/>
      <c r="H234" s="4018"/>
      <c r="I234" s="4019"/>
      <c r="J234" s="4020" t="str">
        <f>I226&amp;".1"</f>
        <v>1.10.1.1.1</v>
      </c>
      <c r="K234" s="4017"/>
      <c r="L234" s="4021"/>
      <c r="M234" s="4022"/>
      <c r="N234" s="4022"/>
      <c r="O234" s="4022"/>
      <c r="P234" s="4023"/>
      <c r="Q234" s="4023"/>
      <c r="R234" s="4039"/>
      <c r="S234" s="5499"/>
      <c r="T234" s="5500" t="s">
        <v>611</v>
      </c>
      <c r="U234" s="5501"/>
      <c r="V234" s="5502"/>
      <c r="W234" s="5503"/>
      <c r="X234" s="5504"/>
      <c r="Y234" s="5505"/>
      <c r="Z234" s="5506"/>
      <c r="AA234" s="5507"/>
      <c r="AB234" s="5508"/>
      <c r="AC234" s="5509"/>
      <c r="AD234" s="5510"/>
      <c r="AE234" s="5511"/>
      <c r="AF234" s="5512"/>
      <c r="AG234" s="5513"/>
      <c r="AH234" s="5514"/>
      <c r="AI234" s="5515"/>
      <c r="AJ234" s="5516"/>
      <c r="AK234" s="5517"/>
      <c r="AL234" s="5518"/>
      <c r="AM234" s="5519"/>
      <c r="AN234" s="5520"/>
      <c r="AO234" s="5521"/>
      <c r="AP234" s="5522"/>
      <c r="AQ234" s="5523"/>
      <c r="AR234" s="4065" t="s">
        <v>612</v>
      </c>
      <c r="AS234" s="3983"/>
      <c r="AT234" s="4030"/>
      <c r="AU234" s="4030" t="str">
        <f>IF(T234="","",T234)</f>
        <v>Добавить значение признака дифференциации</v>
      </c>
      <c r="AV234" s="4030"/>
      <c r="AW234" s="4030"/>
      <c r="AX234" s="3916">
        <v>0</v>
      </c>
    </row>
    <row s="10999" customFormat="1" customHeight="1" ht="23.25">
      <c r="A235" s="4017"/>
      <c r="B235" s="4017"/>
      <c r="C235" s="4017"/>
      <c r="D235" s="4017"/>
      <c r="E235" s="4018"/>
      <c r="F235" s="4018"/>
      <c r="G235" s="4018"/>
      <c r="H235" s="4018"/>
      <c r="I235" s="4019"/>
      <c r="J235" s="4020" t="str">
        <f>I226&amp;".3"</f>
        <v>1.10.1.1.3</v>
      </c>
      <c r="K235" s="4017"/>
      <c r="L235" s="4021" t="s">
        <v>534</v>
      </c>
      <c r="M235" s="4022"/>
      <c r="N235" s="4022"/>
      <c r="O235" s="4022"/>
      <c r="P235" s="4023"/>
      <c r="Q235" s="4024" t="s">
        <v>105</v>
      </c>
      <c r="R235" s="4025"/>
      <c r="S235" s="4026" t="str">
        <f>$J235</f>
        <v>1.10.1.1.3</v>
      </c>
      <c r="T235" s="4027" t="s">
        <v>535</v>
      </c>
      <c r="U235" s="4028"/>
      <c r="V235" s="3932"/>
      <c r="W235" s="3933"/>
      <c r="X235" s="3933"/>
      <c r="Y235" s="3933"/>
      <c r="Z235" s="3933"/>
      <c r="AA235" s="3933"/>
      <c r="AB235" s="3934"/>
      <c r="AC235" s="3932" t="s">
        <v>623</v>
      </c>
      <c r="AD235" s="3933"/>
      <c r="AE235" s="3933"/>
      <c r="AF235" s="3933"/>
      <c r="AG235" s="3933"/>
      <c r="AH235" s="3933"/>
      <c r="AI235" s="3933"/>
      <c r="AJ235" s="3932"/>
      <c r="AK235" s="3933"/>
      <c r="AL235" s="3933"/>
      <c r="AM235" s="3933"/>
      <c r="AN235" s="3933"/>
      <c r="AO235" s="3933"/>
      <c r="AP235" s="3934"/>
      <c r="AQ235" s="3934"/>
      <c r="AR235" s="4029" t="s">
        <v>610</v>
      </c>
      <c r="AS235" s="3983"/>
      <c r="AT235" s="4030"/>
      <c r="AU235" s="4030" t="str">
        <f>IF(T235="","",T235)</f>
        <v>Группа потребителей</v>
      </c>
      <c r="AV235" s="4030"/>
      <c r="AW235" s="4030"/>
      <c r="AX235" s="3916">
        <v>0</v>
      </c>
    </row>
    <row s="11000" customFormat="1" customHeight="1" ht="23.25">
      <c r="A236" s="4017"/>
      <c r="B236" s="4017"/>
      <c r="C236" s="4017"/>
      <c r="D236" s="4017"/>
      <c r="E236" s="4018"/>
      <c r="F236" s="4018"/>
      <c r="G236" s="4018"/>
      <c r="H236" s="4018"/>
      <c r="I236" s="4019"/>
      <c r="J236" s="4019" t="str">
        <f>I226&amp;".2"</f>
        <v>1.10.1.1.2</v>
      </c>
      <c r="K236" s="4020" t="str">
        <f>J235&amp;".1"</f>
        <v>1.10.1.1.3.1</v>
      </c>
      <c r="L236" s="4021"/>
      <c r="M236" s="4022"/>
      <c r="N236" s="4022"/>
      <c r="O236" s="4022"/>
      <c r="P236" s="4023"/>
      <c r="Q236" s="4023"/>
      <c r="R236" s="4025">
        <v>1</v>
      </c>
      <c r="S236" s="4026" t="str">
        <f>$K236</f>
        <v>1.10.1.1.3.1</v>
      </c>
      <c r="T236" s="4032"/>
      <c r="U236" s="4028"/>
      <c r="V236" s="3936"/>
      <c r="W236" s="3936"/>
      <c r="X236" s="3937"/>
      <c r="Y236" s="3938"/>
      <c r="Z236" s="3939" t="s">
        <v>66</v>
      </c>
      <c r="AA236" s="3938"/>
      <c r="AB236" s="3939" t="s">
        <v>66</v>
      </c>
      <c r="AC236" s="3936">
        <v>54.69</v>
      </c>
      <c r="AD236" s="3936"/>
      <c r="AE236" s="3937"/>
      <c r="AF236" s="3938">
        <v>45658</v>
      </c>
      <c r="AG236" s="3939" t="s">
        <v>66</v>
      </c>
      <c r="AH236" s="4006">
        <v>45838</v>
      </c>
      <c r="AI236" s="3939" t="s">
        <v>66</v>
      </c>
      <c r="AJ236" s="3936">
        <v>102.47</v>
      </c>
      <c r="AK236" s="3936"/>
      <c r="AL236" s="3937"/>
      <c r="AM236" s="3938">
        <v>45839</v>
      </c>
      <c r="AN236" s="3939" t="s">
        <v>66</v>
      </c>
      <c r="AO236" s="3938">
        <v>46022</v>
      </c>
      <c r="AP236" s="3939" t="s">
        <v>66</v>
      </c>
      <c r="AQ236" s="4033"/>
      <c r="AR236" s="4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236" s="3983">
        <f>STRCHECKDATE(V237:AQ237)</f>
      </c>
      <c r="AT236" s="4030"/>
      <c r="AU236" s="4030" t="str">
        <f>IF(T236="","",T236)</f>
        <v/>
      </c>
      <c r="AV236" s="4030"/>
      <c r="AW236" s="4030"/>
      <c r="AX236" s="3916">
        <v>0</v>
      </c>
    </row>
    <row s="11001" customFormat="1" customHeight="1" ht="14.25">
      <c r="A237" s="4017"/>
      <c r="B237" s="4017"/>
      <c r="C237" s="4017"/>
      <c r="D237" s="4017"/>
      <c r="E237" s="4018"/>
      <c r="F237" s="4018"/>
      <c r="G237" s="4018"/>
      <c r="H237" s="4018"/>
      <c r="I237" s="4019"/>
      <c r="J237" s="4019" t="str">
        <f>I226&amp;".2"</f>
        <v>1.10.1.1.2</v>
      </c>
      <c r="K237" s="4020"/>
      <c r="L237" s="4021"/>
      <c r="M237" s="4022"/>
      <c r="N237" s="4022"/>
      <c r="O237" s="4022"/>
      <c r="P237" s="4023"/>
      <c r="Q237" s="4023"/>
      <c r="R237" s="4025"/>
      <c r="S237" s="4036"/>
      <c r="T237" s="4028"/>
      <c r="U237" s="4028"/>
      <c r="V237" s="3943"/>
      <c r="W237" s="3943"/>
      <c r="X237" s="3944" t="str">
        <f>Y236&amp;"-"&amp;AA236</f>
        <v>-</v>
      </c>
      <c r="Y237" s="3945"/>
      <c r="Z237" s="3939"/>
      <c r="AA237" s="3945"/>
      <c r="AB237" s="3939"/>
      <c r="AC237" s="3943"/>
      <c r="AD237" s="3943"/>
      <c r="AE237" s="3944" t="str">
        <f>AF236&amp;"-"&amp;AH236</f>
        <v>45658-45838</v>
      </c>
      <c r="AF237" s="3945"/>
      <c r="AG237" s="3939"/>
      <c r="AH237" s="4008"/>
      <c r="AI237" s="3939"/>
      <c r="AJ237" s="3943"/>
      <c r="AK237" s="3943"/>
      <c r="AL237" s="3944" t="str">
        <f>AM236&amp;"-"&amp;AO236</f>
        <v>45839-46022</v>
      </c>
      <c r="AM237" s="3945"/>
      <c r="AN237" s="3939"/>
      <c r="AO237" s="3945"/>
      <c r="AP237" s="3939"/>
      <c r="AQ237" s="4037"/>
      <c r="AR237" s="4034"/>
      <c r="AS237" s="3983"/>
      <c r="AT237" s="4030"/>
      <c r="AU237" s="4030" t="str">
        <f>IF(T237="","",T237)</f>
        <v/>
      </c>
      <c r="AV237" s="4030"/>
      <c r="AW237" s="4030"/>
      <c r="AX237" s="3916">
        <v>0</v>
      </c>
    </row>
    <row s="11002" customFormat="1" customHeight="1" ht="21">
      <c r="A238" s="4017"/>
      <c r="B238" s="4017"/>
      <c r="C238" s="4017"/>
      <c r="D238" s="4017"/>
      <c r="E238" s="4018"/>
      <c r="F238" s="4018"/>
      <c r="G238" s="4018"/>
      <c r="H238" s="4018"/>
      <c r="I238" s="4019"/>
      <c r="J238" s="4020" t="str">
        <f>I226&amp;".2"</f>
        <v>1.10.1.1.2</v>
      </c>
      <c r="K238" s="4017"/>
      <c r="L238" s="4021"/>
      <c r="M238" s="4022"/>
      <c r="N238" s="4022"/>
      <c r="O238" s="4022"/>
      <c r="P238" s="4023"/>
      <c r="Q238" s="4023"/>
      <c r="R238" s="4039"/>
      <c r="S238" s="5528"/>
      <c r="T238" s="5529" t="s">
        <v>611</v>
      </c>
      <c r="U238" s="5530"/>
      <c r="V238" s="5531"/>
      <c r="W238" s="5532"/>
      <c r="X238" s="5533"/>
      <c r="Y238" s="5534"/>
      <c r="Z238" s="5535"/>
      <c r="AA238" s="5536"/>
      <c r="AB238" s="5537"/>
      <c r="AC238" s="5538"/>
      <c r="AD238" s="5539"/>
      <c r="AE238" s="5540"/>
      <c r="AF238" s="5541"/>
      <c r="AG238" s="5542"/>
      <c r="AH238" s="5543"/>
      <c r="AI238" s="5544"/>
      <c r="AJ238" s="5545"/>
      <c r="AK238" s="5546"/>
      <c r="AL238" s="5547"/>
      <c r="AM238" s="5548"/>
      <c r="AN238" s="5549"/>
      <c r="AO238" s="5550"/>
      <c r="AP238" s="5551"/>
      <c r="AQ238" s="5552"/>
      <c r="AR238" s="4065" t="s">
        <v>612</v>
      </c>
      <c r="AS238" s="3983"/>
      <c r="AT238" s="4030"/>
      <c r="AU238" s="4030" t="str">
        <f>IF(T238="","",T238)</f>
        <v>Добавить значение признака дифференциации</v>
      </c>
      <c r="AV238" s="4030"/>
      <c r="AW238" s="4030"/>
      <c r="AX238" s="3916">
        <v>0</v>
      </c>
    </row>
    <row s="11028" customFormat="1" customHeight="1" ht="21">
      <c r="A239" s="4017"/>
      <c r="B239" s="4017"/>
      <c r="C239" s="4017"/>
      <c r="D239" s="4017"/>
      <c r="E239" s="4018"/>
      <c r="F239" s="4018" t="s">
        <v>136</v>
      </c>
      <c r="G239" s="4018"/>
      <c r="H239" s="4018"/>
      <c r="I239" s="4020"/>
      <c r="J239" s="4017"/>
      <c r="K239" s="4017"/>
      <c r="L239" s="4021"/>
      <c r="M239" s="4022"/>
      <c r="N239" s="4022"/>
      <c r="O239" s="4022"/>
      <c r="P239" s="4023"/>
      <c r="Q239" s="4023"/>
      <c r="R239" s="4039"/>
      <c r="S239" s="5554"/>
      <c r="T239" s="5555" t="s">
        <v>540</v>
      </c>
      <c r="U239" s="5556"/>
      <c r="V239" s="5557"/>
      <c r="W239" s="5558"/>
      <c r="X239" s="5559"/>
      <c r="Y239" s="5560"/>
      <c r="Z239" s="5561"/>
      <c r="AA239" s="5562"/>
      <c r="AB239" s="5563"/>
      <c r="AC239" s="5564"/>
      <c r="AD239" s="5565"/>
      <c r="AE239" s="5566"/>
      <c r="AF239" s="5567"/>
      <c r="AG239" s="5568"/>
      <c r="AH239" s="5569"/>
      <c r="AI239" s="5570"/>
      <c r="AJ239" s="5571"/>
      <c r="AK239" s="5572"/>
      <c r="AL239" s="5573"/>
      <c r="AM239" s="5574"/>
      <c r="AN239" s="5575"/>
      <c r="AO239" s="5576"/>
      <c r="AP239" s="5577"/>
      <c r="AQ239" s="5578"/>
      <c r="AR239" s="5579"/>
      <c r="AS239" s="3983"/>
      <c r="AT239" s="4030"/>
      <c r="AU239" s="4030" t="str">
        <f>IF(T239="","",T239)</f>
        <v>Добавить группу потребителей</v>
      </c>
      <c r="AV239" s="4030"/>
      <c r="AW239" s="4030"/>
      <c r="AX239" s="3916">
        <v>0</v>
      </c>
    </row>
    <row s="11055" customFormat="1" customHeight="1" ht="14.25">
      <c r="A240" s="4017"/>
      <c r="B240" s="4017"/>
      <c r="C240" s="4017"/>
      <c r="D240" s="4017"/>
      <c r="E240" s="4018"/>
      <c r="F240" s="4018" t="s">
        <v>136</v>
      </c>
      <c r="G240" s="4018"/>
      <c r="H240" s="4110"/>
      <c r="I240" s="4017"/>
      <c r="J240" s="4017"/>
      <c r="K240" s="4017"/>
      <c r="L240" s="4021"/>
      <c r="M240" s="4111"/>
      <c r="N240" s="4111"/>
      <c r="O240" s="3973"/>
      <c r="P240" s="4239"/>
      <c r="Q240" s="4240"/>
      <c r="R240" s="4241"/>
      <c r="S240" s="5581"/>
      <c r="T240" s="5582" t="s">
        <v>613</v>
      </c>
      <c r="U240" s="5583"/>
      <c r="V240" s="5584"/>
      <c r="W240" s="5585"/>
      <c r="X240" s="5586"/>
      <c r="Y240" s="5587"/>
      <c r="Z240" s="5588"/>
      <c r="AA240" s="5589"/>
      <c r="AB240" s="5590"/>
      <c r="AC240" s="5591"/>
      <c r="AD240" s="5592"/>
      <c r="AE240" s="5593"/>
      <c r="AF240" s="5594"/>
      <c r="AG240" s="5595"/>
      <c r="AH240" s="5596"/>
      <c r="AI240" s="5597"/>
      <c r="AJ240" s="5598"/>
      <c r="AK240" s="5599"/>
      <c r="AL240" s="5600"/>
      <c r="AM240" s="5601"/>
      <c r="AN240" s="5602"/>
      <c r="AO240" s="5603"/>
      <c r="AP240" s="5604"/>
      <c r="AQ240" s="5605"/>
      <c r="AR240" s="5606"/>
      <c r="AS240" s="3983"/>
      <c r="AT240" s="4030"/>
      <c r="AU240" s="4030" t="str">
        <f>IF(T240="","",T240)</f>
        <v>Добавить наименование признака дифференциации</v>
      </c>
      <c r="AV240" s="4030"/>
      <c r="AW240" s="4030"/>
      <c r="AX240" s="3916">
        <v>0</v>
      </c>
    </row>
    <row s="11082" customFormat="1" customHeight="1" ht="14.25">
      <c r="A241" s="4269"/>
      <c r="B241" s="4269"/>
      <c r="C241" s="4269"/>
      <c r="D241" s="4269"/>
      <c r="E241" s="4018"/>
      <c r="F241" s="4110" t="s">
        <v>136</v>
      </c>
      <c r="G241" s="4269"/>
      <c r="H241" s="4269"/>
      <c r="I241" s="4269"/>
      <c r="J241" s="4269"/>
      <c r="K241" s="4269"/>
      <c r="L241" s="4270"/>
      <c r="M241" s="4271"/>
      <c r="N241" s="4271"/>
      <c r="O241" s="3983"/>
      <c r="P241" s="4272"/>
      <c r="Q241" s="4273"/>
      <c r="R241" s="4272"/>
      <c r="S241" s="4274"/>
      <c r="T241" s="4275" t="s">
        <v>298</v>
      </c>
      <c r="U241" s="3971"/>
      <c r="V241" s="3971"/>
      <c r="W241" s="3971"/>
      <c r="X241" s="3971"/>
      <c r="Y241" s="3971"/>
      <c r="Z241" s="3971"/>
      <c r="AA241" s="3971"/>
      <c r="AB241" s="3971"/>
      <c r="AC241" s="3971"/>
      <c r="AD241" s="3971"/>
      <c r="AE241" s="3971"/>
      <c r="AF241" s="3971"/>
      <c r="AG241" s="3971"/>
      <c r="AH241" s="3971"/>
      <c r="AI241" s="3971"/>
      <c r="AJ241" s="3971"/>
      <c r="AK241" s="3971"/>
      <c r="AL241" s="3971"/>
      <c r="AM241" s="3971"/>
      <c r="AN241" s="3971"/>
      <c r="AO241" s="3971"/>
      <c r="AP241" s="3971"/>
      <c r="AQ241" s="3971"/>
      <c r="AR241" s="3971"/>
      <c r="AS241" s="3983"/>
      <c r="AT241" s="4030"/>
      <c r="AU241" s="4030" t="str">
        <f>IF(T241="","",T241)</f>
        <v>Добавить централизованную систему для дифференциации</v>
      </c>
      <c r="AV241" s="4030"/>
      <c r="AW241" s="4030"/>
      <c r="AX241" s="3983">
        <v>0</v>
      </c>
    </row>
    <row s="11083" customFormat="1" customHeight="1" ht="23.25">
      <c r="A242" s="4017"/>
      <c r="B242" s="4017" t="s">
        <v>330</v>
      </c>
      <c r="C242" s="4017"/>
      <c r="D242" s="4017"/>
      <c r="E242" s="4018"/>
      <c r="F242" s="4110" t="s">
        <v>146</v>
      </c>
      <c r="G242" s="4017"/>
      <c r="H242" s="4017"/>
      <c r="I242" s="4017"/>
      <c r="J242" s="4017"/>
      <c r="K242" s="4017"/>
      <c r="L242" s="4021"/>
      <c r="M242" s="4111"/>
      <c r="N242" s="4111"/>
      <c r="O242" s="4111"/>
      <c r="P242" s="4112"/>
      <c r="Q242" s="4113"/>
      <c r="R242" s="4114"/>
      <c r="S242" s="4026" t="str">
        <f>INDEX(PT_DIFFERENTIATION_NUM_TER,MATCH(B242,PT_DIFFERENTIATION_TER_ID,0))</f>
        <v>1.11</v>
      </c>
      <c r="T242" s="4115" t="s">
        <v>525</v>
      </c>
      <c r="U242" s="4028"/>
      <c r="V242" s="3918"/>
      <c r="W242" s="3919"/>
      <c r="X242" s="3919"/>
      <c r="Y242" s="3919"/>
      <c r="Z242" s="3919"/>
      <c r="AA242" s="3919"/>
      <c r="AB242" s="3920"/>
      <c r="AC242" s="3918" t="str">
        <f>INDEX(PT_DIFFERENTIATION_TER,MATCH(B242,PT_DIFFERENTIATION_TER_ID,0))</f>
        <v>Территория 11</v>
      </c>
      <c r="AD242" s="3919"/>
      <c r="AE242" s="3919"/>
      <c r="AF242" s="3919"/>
      <c r="AG242" s="3919"/>
      <c r="AH242" s="3919"/>
      <c r="AI242" s="3919"/>
      <c r="AJ242" s="3918"/>
      <c r="AK242" s="3919"/>
      <c r="AL242" s="3919"/>
      <c r="AM242" s="3919"/>
      <c r="AN242" s="3919"/>
      <c r="AO242" s="3919"/>
      <c r="AP242" s="3920"/>
      <c r="AQ242" s="3920"/>
      <c r="AR242" s="4065" t="s">
        <v>526</v>
      </c>
      <c r="AS242" s="3983"/>
      <c r="AT242" s="4030"/>
      <c r="AU242" s="4030" t="str">
        <f>IF(T242="","",T242)</f>
        <v>Территория действия тарифа</v>
      </c>
      <c r="AV242" s="4030"/>
      <c r="AW242" s="4030"/>
      <c r="AX242" s="3916">
        <v>0</v>
      </c>
    </row>
    <row s="11084" customFormat="1" customHeight="1" ht="23.25">
      <c r="A243" s="4017"/>
      <c r="B243" s="4017"/>
      <c r="C243" s="4017" t="s">
        <v>331</v>
      </c>
      <c r="D243" s="4017"/>
      <c r="E243" s="4018"/>
      <c r="F243" s="4018" t="s">
        <v>141</v>
      </c>
      <c r="G243" s="4110">
        <v>1</v>
      </c>
      <c r="H243" s="4017"/>
      <c r="I243" s="4017"/>
      <c r="J243" s="4017"/>
      <c r="K243" s="4017"/>
      <c r="L243" s="4021"/>
      <c r="M243" s="4111"/>
      <c r="N243" s="4111"/>
      <c r="O243" s="4111"/>
      <c r="P243" s="4117"/>
      <c r="Q243" s="4113"/>
      <c r="R243" s="4114"/>
      <c r="S243" s="4026" t="str">
        <f>INDEX(PT_DIFFERENTIATION_NUM_CS,MATCH(C243,PT_DIFFERENTIATION_CS_ID,0))</f>
        <v>1.11.1</v>
      </c>
      <c r="T243" s="4118" t="s">
        <v>606</v>
      </c>
      <c r="U243" s="4028"/>
      <c r="V243" s="3918"/>
      <c r="W243" s="3919"/>
      <c r="X243" s="3919"/>
      <c r="Y243" s="3919"/>
      <c r="Z243" s="3919"/>
      <c r="AA243" s="3919"/>
      <c r="AB243" s="3920"/>
      <c r="AC243" s="3918" t="str">
        <f>INDEX(PT_DIFFERENTIATION_CS,MATCH(C243,PT_DIFFERENTIATION_CS_ID,0))</f>
        <v>без дифференциации</v>
      </c>
      <c r="AD243" s="3919"/>
      <c r="AE243" s="3919"/>
      <c r="AF243" s="3919"/>
      <c r="AG243" s="3919"/>
      <c r="AH243" s="3919"/>
      <c r="AI243" s="3919"/>
      <c r="AJ243" s="3918"/>
      <c r="AK243" s="3919"/>
      <c r="AL243" s="3919"/>
      <c r="AM243" s="3919"/>
      <c r="AN243" s="3919"/>
      <c r="AO243" s="3919"/>
      <c r="AP243" s="3920"/>
      <c r="AQ243" s="3920"/>
      <c r="AR243" s="4065" t="s">
        <v>607</v>
      </c>
      <c r="AS243" s="3983"/>
      <c r="AT243" s="4030"/>
      <c r="AU243" s="4030" t="str">
        <f>IF(T243="","",T243)</f>
        <v>Наименование централизованной системы холодного водоснабжения</v>
      </c>
      <c r="AV243" s="4030"/>
      <c r="AW243" s="4030"/>
      <c r="AX243" s="3916">
        <v>0</v>
      </c>
    </row>
    <row s="11085" customFormat="1" customHeight="1" ht="23.25">
      <c r="A244" s="4017"/>
      <c r="B244" s="4017"/>
      <c r="C244" s="4017"/>
      <c r="D244" s="4017"/>
      <c r="E244" s="4018"/>
      <c r="F244" s="4018" t="s">
        <v>141</v>
      </c>
      <c r="G244" s="4018"/>
      <c r="H244" s="4018"/>
      <c r="I244" s="4020" t="str">
        <f>S243&amp;".1"</f>
        <v>1.11.1.1</v>
      </c>
      <c r="J244" s="4017"/>
      <c r="K244" s="4017"/>
      <c r="L244" s="4021"/>
      <c r="M244" s="4022"/>
      <c r="N244" s="4022"/>
      <c r="O244" s="4022"/>
      <c r="P244" s="4023">
        <v>1</v>
      </c>
      <c r="Q244" s="4023"/>
      <c r="R244" s="4039"/>
      <c r="S244" s="4026" t="str">
        <f>$I244</f>
        <v>1.11.1.1</v>
      </c>
      <c r="T244" s="4120" t="s">
        <v>608</v>
      </c>
      <c r="U244" s="4028"/>
      <c r="V244" s="3928"/>
      <c r="W244" s="3929"/>
      <c r="X244" s="3929"/>
      <c r="Y244" s="3929"/>
      <c r="Z244" s="3929"/>
      <c r="AA244" s="3929"/>
      <c r="AB244" s="3930"/>
      <c r="AC244" s="4121"/>
      <c r="AD244" s="4122"/>
      <c r="AE244" s="4122"/>
      <c r="AF244" s="4122"/>
      <c r="AG244" s="4122"/>
      <c r="AH244" s="4122"/>
      <c r="AI244" s="4122"/>
      <c r="AJ244" s="3928"/>
      <c r="AK244" s="3929"/>
      <c r="AL244" s="3929"/>
      <c r="AM244" s="3929"/>
      <c r="AN244" s="3929"/>
      <c r="AO244" s="3929"/>
      <c r="AP244" s="3930"/>
      <c r="AQ244" s="4123"/>
      <c r="AR244" s="4065" t="s">
        <v>609</v>
      </c>
      <c r="AS244" s="3983"/>
      <c r="AT244" s="4030"/>
      <c r="AU244" s="4030" t="str">
        <f>IF(T244="","",T244)</f>
        <v>Наименование признака дифференциации</v>
      </c>
      <c r="AV244" s="4030"/>
      <c r="AW244" s="4030"/>
      <c r="AX244" s="3916">
        <v>0</v>
      </c>
    </row>
    <row s="11086" customFormat="1" customHeight="1" ht="23.25">
      <c r="A245" s="4017"/>
      <c r="B245" s="4017"/>
      <c r="C245" s="4017"/>
      <c r="D245" s="4017"/>
      <c r="E245" s="4018"/>
      <c r="F245" s="4018" t="s">
        <v>141</v>
      </c>
      <c r="G245" s="4018"/>
      <c r="H245" s="4018"/>
      <c r="I245" s="4019"/>
      <c r="J245" s="4020" t="str">
        <f>I244&amp;".1"</f>
        <v>1.11.1.1.1</v>
      </c>
      <c r="K245" s="4017"/>
      <c r="L245" s="4021" t="s">
        <v>534</v>
      </c>
      <c r="M245" s="4022"/>
      <c r="N245" s="4022"/>
      <c r="O245" s="4022"/>
      <c r="P245" s="4023"/>
      <c r="Q245" s="4023">
        <v>1</v>
      </c>
      <c r="R245" s="4025"/>
      <c r="S245" s="4026" t="str">
        <f>$J245</f>
        <v>1.11.1.1.1</v>
      </c>
      <c r="T245" s="4027" t="s">
        <v>535</v>
      </c>
      <c r="U245" s="4028"/>
      <c r="V245" s="3932"/>
      <c r="W245" s="3933"/>
      <c r="X245" s="3933"/>
      <c r="Y245" s="3933"/>
      <c r="Z245" s="3933"/>
      <c r="AA245" s="3933"/>
      <c r="AB245" s="3934"/>
      <c r="AC245" s="3932" t="s">
        <v>621</v>
      </c>
      <c r="AD245" s="3933"/>
      <c r="AE245" s="3933"/>
      <c r="AF245" s="3933"/>
      <c r="AG245" s="3933"/>
      <c r="AH245" s="3933"/>
      <c r="AI245" s="3933"/>
      <c r="AJ245" s="3932"/>
      <c r="AK245" s="3933"/>
      <c r="AL245" s="3933"/>
      <c r="AM245" s="3933"/>
      <c r="AN245" s="3933"/>
      <c r="AO245" s="3933"/>
      <c r="AP245" s="3934"/>
      <c r="AQ245" s="3934"/>
      <c r="AR245" s="4029" t="s">
        <v>610</v>
      </c>
      <c r="AS245" s="3983"/>
      <c r="AT245" s="4030"/>
      <c r="AU245" s="4030" t="str">
        <f>IF(T245="","",T245)</f>
        <v>Группа потребителей</v>
      </c>
      <c r="AV245" s="4030"/>
      <c r="AW245" s="4030"/>
      <c r="AX245" s="3916">
        <v>0</v>
      </c>
    </row>
    <row s="11087" customFormat="1" customHeight="1" ht="23.25">
      <c r="A246" s="4017"/>
      <c r="B246" s="4017"/>
      <c r="C246" s="4017"/>
      <c r="D246" s="4017"/>
      <c r="E246" s="4018"/>
      <c r="F246" s="4018" t="s">
        <v>141</v>
      </c>
      <c r="G246" s="4018"/>
      <c r="H246" s="4018"/>
      <c r="I246" s="4019"/>
      <c r="J246" s="4019"/>
      <c r="K246" s="4020" t="str">
        <f>J245&amp;".1"</f>
        <v>1.11.1.1.1.1</v>
      </c>
      <c r="L246" s="4021"/>
      <c r="M246" s="4022"/>
      <c r="N246" s="4022"/>
      <c r="O246" s="4022"/>
      <c r="P246" s="4023"/>
      <c r="Q246" s="4023"/>
      <c r="R246" s="4025">
        <v>1</v>
      </c>
      <c r="S246" s="4026" t="str">
        <f>$K246</f>
        <v>1.11.1.1.1.1</v>
      </c>
      <c r="T246" s="4032"/>
      <c r="U246" s="4028"/>
      <c r="V246" s="3936"/>
      <c r="W246" s="3936"/>
      <c r="X246" s="3937"/>
      <c r="Y246" s="3938"/>
      <c r="Z246" s="3939" t="s">
        <v>66</v>
      </c>
      <c r="AA246" s="3938"/>
      <c r="AB246" s="3939" t="s">
        <v>66</v>
      </c>
      <c r="AC246" s="3936">
        <v>57.42</v>
      </c>
      <c r="AD246" s="3936"/>
      <c r="AE246" s="3937"/>
      <c r="AF246" s="3938">
        <v>45658</v>
      </c>
      <c r="AG246" s="3939" t="s">
        <v>66</v>
      </c>
      <c r="AH246" s="4006">
        <v>45838</v>
      </c>
      <c r="AI246" s="3939" t="s">
        <v>66</v>
      </c>
      <c r="AJ246" s="3936">
        <v>62.02</v>
      </c>
      <c r="AK246" s="3936"/>
      <c r="AL246" s="3937"/>
      <c r="AM246" s="3938">
        <v>45839</v>
      </c>
      <c r="AN246" s="3939" t="s">
        <v>66</v>
      </c>
      <c r="AO246" s="3938">
        <v>46022</v>
      </c>
      <c r="AP246" s="3939" t="s">
        <v>66</v>
      </c>
      <c r="AQ246" s="4033"/>
      <c r="AR246" s="4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246" s="3983">
        <f>STRCHECKDATE(V247:AQ247)</f>
      </c>
      <c r="AT246" s="4030"/>
      <c r="AU246" s="4030" t="str">
        <f>IF(T246="","",T246)</f>
        <v/>
      </c>
      <c r="AV246" s="4030"/>
      <c r="AW246" s="4030"/>
      <c r="AX246" s="3916">
        <v>0</v>
      </c>
    </row>
    <row s="11088" customFormat="1" customHeight="1" ht="14.25">
      <c r="A247" s="4017"/>
      <c r="B247" s="4017"/>
      <c r="C247" s="4017"/>
      <c r="D247" s="4017"/>
      <c r="E247" s="4018"/>
      <c r="F247" s="4018" t="s">
        <v>141</v>
      </c>
      <c r="G247" s="4018"/>
      <c r="H247" s="4018"/>
      <c r="I247" s="4019"/>
      <c r="J247" s="4019"/>
      <c r="K247" s="4020"/>
      <c r="L247" s="4021"/>
      <c r="M247" s="4022"/>
      <c r="N247" s="4022"/>
      <c r="O247" s="4022"/>
      <c r="P247" s="4023"/>
      <c r="Q247" s="4023"/>
      <c r="R247" s="4025"/>
      <c r="S247" s="4036"/>
      <c r="T247" s="4028"/>
      <c r="U247" s="4028"/>
      <c r="V247" s="3943"/>
      <c r="W247" s="3943"/>
      <c r="X247" s="3944" t="str">
        <f>Y246&amp;"-"&amp;AA246</f>
        <v>-</v>
      </c>
      <c r="Y247" s="3945"/>
      <c r="Z247" s="3939"/>
      <c r="AA247" s="3945"/>
      <c r="AB247" s="3939"/>
      <c r="AC247" s="3943"/>
      <c r="AD247" s="3943"/>
      <c r="AE247" s="3944" t="str">
        <f>AF246&amp;"-"&amp;AH246</f>
        <v>45658-45838</v>
      </c>
      <c r="AF247" s="3945"/>
      <c r="AG247" s="3939"/>
      <c r="AH247" s="4008"/>
      <c r="AI247" s="3939"/>
      <c r="AJ247" s="3943"/>
      <c r="AK247" s="3943"/>
      <c r="AL247" s="3944" t="str">
        <f>AM246&amp;"-"&amp;AO246</f>
        <v>45839-46022</v>
      </c>
      <c r="AM247" s="3945"/>
      <c r="AN247" s="3939"/>
      <c r="AO247" s="3945"/>
      <c r="AP247" s="3939"/>
      <c r="AQ247" s="4037"/>
      <c r="AR247" s="4034"/>
      <c r="AS247" s="3983"/>
      <c r="AT247" s="4030"/>
      <c r="AU247" s="4030" t="str">
        <f>IF(T247="","",T247)</f>
        <v/>
      </c>
      <c r="AV247" s="4030"/>
      <c r="AW247" s="4030"/>
      <c r="AX247" s="3916">
        <v>0</v>
      </c>
    </row>
    <row s="11089" customFormat="1" customHeight="1" ht="21">
      <c r="A248" s="4017"/>
      <c r="B248" s="4017"/>
      <c r="C248" s="4017"/>
      <c r="D248" s="4017"/>
      <c r="E248" s="4018"/>
      <c r="F248" s="4018" t="s">
        <v>141</v>
      </c>
      <c r="G248" s="4018"/>
      <c r="H248" s="4018"/>
      <c r="I248" s="4019"/>
      <c r="J248" s="4020"/>
      <c r="K248" s="4017"/>
      <c r="L248" s="4021"/>
      <c r="M248" s="4022"/>
      <c r="N248" s="4022"/>
      <c r="O248" s="4022"/>
      <c r="P248" s="4023"/>
      <c r="Q248" s="4023"/>
      <c r="R248" s="4039"/>
      <c r="S248" s="5615"/>
      <c r="T248" s="5616" t="s">
        <v>611</v>
      </c>
      <c r="U248" s="5617"/>
      <c r="V248" s="5618"/>
      <c r="W248" s="5619"/>
      <c r="X248" s="5620"/>
      <c r="Y248" s="5621"/>
      <c r="Z248" s="5622"/>
      <c r="AA248" s="5623"/>
      <c r="AB248" s="5624"/>
      <c r="AC248" s="5625"/>
      <c r="AD248" s="5626"/>
      <c r="AE248" s="5627"/>
      <c r="AF248" s="5628"/>
      <c r="AG248" s="5629"/>
      <c r="AH248" s="5630"/>
      <c r="AI248" s="5631"/>
      <c r="AJ248" s="5632"/>
      <c r="AK248" s="5633"/>
      <c r="AL248" s="5634"/>
      <c r="AM248" s="5635"/>
      <c r="AN248" s="5636"/>
      <c r="AO248" s="5637"/>
      <c r="AP248" s="5638"/>
      <c r="AQ248" s="5639"/>
      <c r="AR248" s="4065" t="s">
        <v>612</v>
      </c>
      <c r="AS248" s="3983"/>
      <c r="AT248" s="4030"/>
      <c r="AU248" s="4030" t="str">
        <f>IF(T248="","",T248)</f>
        <v>Добавить значение признака дифференциации</v>
      </c>
      <c r="AV248" s="4030"/>
      <c r="AW248" s="4030"/>
      <c r="AX248" s="3916">
        <v>0</v>
      </c>
    </row>
    <row s="11115" customFormat="1" customHeight="1" ht="23.25">
      <c r="A249" s="4017"/>
      <c r="B249" s="4017"/>
      <c r="C249" s="4017"/>
      <c r="D249" s="4017"/>
      <c r="E249" s="4018"/>
      <c r="F249" s="4018"/>
      <c r="G249" s="4018"/>
      <c r="H249" s="4018"/>
      <c r="I249" s="4019"/>
      <c r="J249" s="4020" t="str">
        <f>I244&amp;".2"</f>
        <v>1.11.1.1.2</v>
      </c>
      <c r="K249" s="4017"/>
      <c r="L249" s="4021" t="s">
        <v>534</v>
      </c>
      <c r="M249" s="4022"/>
      <c r="N249" s="4022"/>
      <c r="O249" s="4022"/>
      <c r="P249" s="4023"/>
      <c r="Q249" s="4024" t="s">
        <v>105</v>
      </c>
      <c r="R249" s="4025"/>
      <c r="S249" s="4026" t="str">
        <f>$J249</f>
        <v>1.11.1.1.2</v>
      </c>
      <c r="T249" s="4027" t="s">
        <v>535</v>
      </c>
      <c r="U249" s="4028"/>
      <c r="V249" s="3932"/>
      <c r="W249" s="3933"/>
      <c r="X249" s="3933"/>
      <c r="Y249" s="3933"/>
      <c r="Z249" s="3933"/>
      <c r="AA249" s="3933"/>
      <c r="AB249" s="3934"/>
      <c r="AC249" s="3932" t="s">
        <v>622</v>
      </c>
      <c r="AD249" s="3933"/>
      <c r="AE249" s="3933"/>
      <c r="AF249" s="3933"/>
      <c r="AG249" s="3933"/>
      <c r="AH249" s="3933"/>
      <c r="AI249" s="3933"/>
      <c r="AJ249" s="3932"/>
      <c r="AK249" s="3933"/>
      <c r="AL249" s="3933"/>
      <c r="AM249" s="3933"/>
      <c r="AN249" s="3933"/>
      <c r="AO249" s="3933"/>
      <c r="AP249" s="3934"/>
      <c r="AQ249" s="3934"/>
      <c r="AR249" s="4029" t="s">
        <v>610</v>
      </c>
      <c r="AS249" s="3983"/>
      <c r="AT249" s="4030"/>
      <c r="AU249" s="4030" t="str">
        <f>IF(T249="","",T249)</f>
        <v>Группа потребителей</v>
      </c>
      <c r="AV249" s="4030"/>
      <c r="AW249" s="4030"/>
      <c r="AX249" s="3916">
        <v>0</v>
      </c>
    </row>
    <row s="11116" customFormat="1" customHeight="1" ht="23.25">
      <c r="A250" s="4017"/>
      <c r="B250" s="4017"/>
      <c r="C250" s="4017"/>
      <c r="D250" s="4017"/>
      <c r="E250" s="4018"/>
      <c r="F250" s="4018"/>
      <c r="G250" s="4018"/>
      <c r="H250" s="4018"/>
      <c r="I250" s="4019"/>
      <c r="J250" s="4019" t="str">
        <f>I244&amp;".1"</f>
        <v>1.11.1.1.1</v>
      </c>
      <c r="K250" s="4020" t="str">
        <f>J249&amp;".1"</f>
        <v>1.11.1.1.2.1</v>
      </c>
      <c r="L250" s="4021"/>
      <c r="M250" s="4022"/>
      <c r="N250" s="4022"/>
      <c r="O250" s="4022"/>
      <c r="P250" s="4023"/>
      <c r="Q250" s="4023"/>
      <c r="R250" s="4025">
        <v>1</v>
      </c>
      <c r="S250" s="4026" t="str">
        <f>$K250</f>
        <v>1.11.1.1.2.1</v>
      </c>
      <c r="T250" s="4032"/>
      <c r="U250" s="4028"/>
      <c r="V250" s="3936"/>
      <c r="W250" s="3936"/>
      <c r="X250" s="3937"/>
      <c r="Y250" s="3938"/>
      <c r="Z250" s="3939" t="s">
        <v>66</v>
      </c>
      <c r="AA250" s="3938"/>
      <c r="AB250" s="3939" t="s">
        <v>66</v>
      </c>
      <c r="AC250" s="3936">
        <v>54.69</v>
      </c>
      <c r="AD250" s="3936"/>
      <c r="AE250" s="3937"/>
      <c r="AF250" s="3938">
        <v>45658</v>
      </c>
      <c r="AG250" s="3939" t="s">
        <v>66</v>
      </c>
      <c r="AH250" s="4006">
        <v>45838</v>
      </c>
      <c r="AI250" s="3939" t="s">
        <v>66</v>
      </c>
      <c r="AJ250" s="3936">
        <v>102.47</v>
      </c>
      <c r="AK250" s="3936"/>
      <c r="AL250" s="3937"/>
      <c r="AM250" s="3938">
        <v>45839</v>
      </c>
      <c r="AN250" s="3939" t="s">
        <v>66</v>
      </c>
      <c r="AO250" s="3938">
        <v>46022</v>
      </c>
      <c r="AP250" s="3939" t="s">
        <v>66</v>
      </c>
      <c r="AQ250" s="4033"/>
      <c r="AR250" s="4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250" s="3983">
        <f>STRCHECKDATE(V251:AQ251)</f>
      </c>
      <c r="AT250" s="4030"/>
      <c r="AU250" s="4030" t="str">
        <f>IF(T250="","",T250)</f>
        <v/>
      </c>
      <c r="AV250" s="4030"/>
      <c r="AW250" s="4030"/>
      <c r="AX250" s="3916">
        <v>0</v>
      </c>
    </row>
    <row s="11117" customFormat="1" customHeight="1" ht="14.25">
      <c r="A251" s="4017"/>
      <c r="B251" s="4017"/>
      <c r="C251" s="4017"/>
      <c r="D251" s="4017"/>
      <c r="E251" s="4018"/>
      <c r="F251" s="4018"/>
      <c r="G251" s="4018"/>
      <c r="H251" s="4018"/>
      <c r="I251" s="4019"/>
      <c r="J251" s="4019" t="str">
        <f>I244&amp;".1"</f>
        <v>1.11.1.1.1</v>
      </c>
      <c r="K251" s="4020"/>
      <c r="L251" s="4021"/>
      <c r="M251" s="4022"/>
      <c r="N251" s="4022"/>
      <c r="O251" s="4022"/>
      <c r="P251" s="4023"/>
      <c r="Q251" s="4023"/>
      <c r="R251" s="4025"/>
      <c r="S251" s="4036"/>
      <c r="T251" s="4028"/>
      <c r="U251" s="4028"/>
      <c r="V251" s="3943"/>
      <c r="W251" s="3943"/>
      <c r="X251" s="3944" t="str">
        <f>Y250&amp;"-"&amp;AA250</f>
        <v>-</v>
      </c>
      <c r="Y251" s="3945"/>
      <c r="Z251" s="3939"/>
      <c r="AA251" s="3945"/>
      <c r="AB251" s="3939"/>
      <c r="AC251" s="3943"/>
      <c r="AD251" s="3943"/>
      <c r="AE251" s="3944" t="str">
        <f>AF250&amp;"-"&amp;AH250</f>
        <v>45658-45838</v>
      </c>
      <c r="AF251" s="3945"/>
      <c r="AG251" s="3939"/>
      <c r="AH251" s="4008"/>
      <c r="AI251" s="3939"/>
      <c r="AJ251" s="3943"/>
      <c r="AK251" s="3943"/>
      <c r="AL251" s="3944" t="str">
        <f>AM250&amp;"-"&amp;AO250</f>
        <v>45839-46022</v>
      </c>
      <c r="AM251" s="3945"/>
      <c r="AN251" s="3939"/>
      <c r="AO251" s="3945"/>
      <c r="AP251" s="3939"/>
      <c r="AQ251" s="4037"/>
      <c r="AR251" s="4034"/>
      <c r="AS251" s="3983"/>
      <c r="AT251" s="4030"/>
      <c r="AU251" s="4030" t="str">
        <f>IF(T251="","",T251)</f>
        <v/>
      </c>
      <c r="AV251" s="4030"/>
      <c r="AW251" s="4030"/>
      <c r="AX251" s="3916">
        <v>0</v>
      </c>
    </row>
    <row s="11118" customFormat="1" customHeight="1" ht="21">
      <c r="A252" s="4017"/>
      <c r="B252" s="4017"/>
      <c r="C252" s="4017"/>
      <c r="D252" s="4017"/>
      <c r="E252" s="4018"/>
      <c r="F252" s="4018"/>
      <c r="G252" s="4018"/>
      <c r="H252" s="4018"/>
      <c r="I252" s="4019"/>
      <c r="J252" s="4020" t="str">
        <f>I244&amp;".1"</f>
        <v>1.11.1.1.1</v>
      </c>
      <c r="K252" s="4017"/>
      <c r="L252" s="4021"/>
      <c r="M252" s="4022"/>
      <c r="N252" s="4022"/>
      <c r="O252" s="4022"/>
      <c r="P252" s="4023"/>
      <c r="Q252" s="4023"/>
      <c r="R252" s="4039"/>
      <c r="S252" s="5644"/>
      <c r="T252" s="5645" t="s">
        <v>611</v>
      </c>
      <c r="U252" s="5646"/>
      <c r="V252" s="5647"/>
      <c r="W252" s="5648"/>
      <c r="X252" s="5649"/>
      <c r="Y252" s="5650"/>
      <c r="Z252" s="5651"/>
      <c r="AA252" s="5652"/>
      <c r="AB252" s="5653"/>
      <c r="AC252" s="5654"/>
      <c r="AD252" s="5655"/>
      <c r="AE252" s="5656"/>
      <c r="AF252" s="5657"/>
      <c r="AG252" s="5658"/>
      <c r="AH252" s="5659"/>
      <c r="AI252" s="5660"/>
      <c r="AJ252" s="5661"/>
      <c r="AK252" s="5662"/>
      <c r="AL252" s="5663"/>
      <c r="AM252" s="5664"/>
      <c r="AN252" s="5665"/>
      <c r="AO252" s="5666"/>
      <c r="AP252" s="5667"/>
      <c r="AQ252" s="5668"/>
      <c r="AR252" s="4065" t="s">
        <v>612</v>
      </c>
      <c r="AS252" s="3983"/>
      <c r="AT252" s="4030"/>
      <c r="AU252" s="4030" t="str">
        <f>IF(T252="","",T252)</f>
        <v>Добавить значение признака дифференциации</v>
      </c>
      <c r="AV252" s="4030"/>
      <c r="AW252" s="4030"/>
      <c r="AX252" s="3916">
        <v>0</v>
      </c>
    </row>
    <row s="11144" customFormat="1" customHeight="1" ht="23.25">
      <c r="A253" s="4017"/>
      <c r="B253" s="4017"/>
      <c r="C253" s="4017"/>
      <c r="D253" s="4017"/>
      <c r="E253" s="4018"/>
      <c r="F253" s="4018"/>
      <c r="G253" s="4018"/>
      <c r="H253" s="4018"/>
      <c r="I253" s="4019"/>
      <c r="J253" s="4020" t="str">
        <f>I244&amp;".3"</f>
        <v>1.11.1.1.3</v>
      </c>
      <c r="K253" s="4017"/>
      <c r="L253" s="4021" t="s">
        <v>534</v>
      </c>
      <c r="M253" s="4022"/>
      <c r="N253" s="4022"/>
      <c r="O253" s="4022"/>
      <c r="P253" s="4023"/>
      <c r="Q253" s="4024" t="s">
        <v>105</v>
      </c>
      <c r="R253" s="4025"/>
      <c r="S253" s="4026" t="str">
        <f>$J253</f>
        <v>1.11.1.1.3</v>
      </c>
      <c r="T253" s="4027" t="s">
        <v>535</v>
      </c>
      <c r="U253" s="4028"/>
      <c r="V253" s="3932"/>
      <c r="W253" s="3933"/>
      <c r="X253" s="3933"/>
      <c r="Y253" s="3933"/>
      <c r="Z253" s="3933"/>
      <c r="AA253" s="3933"/>
      <c r="AB253" s="3934"/>
      <c r="AC253" s="3932" t="s">
        <v>623</v>
      </c>
      <c r="AD253" s="3933"/>
      <c r="AE253" s="3933"/>
      <c r="AF253" s="3933"/>
      <c r="AG253" s="3933"/>
      <c r="AH253" s="3933"/>
      <c r="AI253" s="3933"/>
      <c r="AJ253" s="3932"/>
      <c r="AK253" s="3933"/>
      <c r="AL253" s="3933"/>
      <c r="AM253" s="3933"/>
      <c r="AN253" s="3933"/>
      <c r="AO253" s="3933"/>
      <c r="AP253" s="3934"/>
      <c r="AQ253" s="3934"/>
      <c r="AR253" s="4029" t="s">
        <v>610</v>
      </c>
      <c r="AS253" s="3983"/>
      <c r="AT253" s="4030"/>
      <c r="AU253" s="4030" t="str">
        <f>IF(T253="","",T253)</f>
        <v>Группа потребителей</v>
      </c>
      <c r="AV253" s="4030"/>
      <c r="AW253" s="4030"/>
      <c r="AX253" s="3916">
        <v>0</v>
      </c>
    </row>
    <row s="11145" customFormat="1" customHeight="1" ht="23.25">
      <c r="A254" s="4017"/>
      <c r="B254" s="4017"/>
      <c r="C254" s="4017"/>
      <c r="D254" s="4017"/>
      <c r="E254" s="4018"/>
      <c r="F254" s="4018"/>
      <c r="G254" s="4018"/>
      <c r="H254" s="4018"/>
      <c r="I254" s="4019"/>
      <c r="J254" s="4019" t="str">
        <f>I244&amp;".2"</f>
        <v>1.11.1.1.2</v>
      </c>
      <c r="K254" s="4020" t="str">
        <f>J253&amp;".1"</f>
        <v>1.11.1.1.3.1</v>
      </c>
      <c r="L254" s="4021"/>
      <c r="M254" s="4022"/>
      <c r="N254" s="4022"/>
      <c r="O254" s="4022"/>
      <c r="P254" s="4023"/>
      <c r="Q254" s="4023"/>
      <c r="R254" s="4025">
        <v>1</v>
      </c>
      <c r="S254" s="4026" t="str">
        <f>$K254</f>
        <v>1.11.1.1.3.1</v>
      </c>
      <c r="T254" s="4032"/>
      <c r="U254" s="4028"/>
      <c r="V254" s="3936"/>
      <c r="W254" s="3936"/>
      <c r="X254" s="3937"/>
      <c r="Y254" s="3938"/>
      <c r="Z254" s="3939" t="s">
        <v>66</v>
      </c>
      <c r="AA254" s="3938"/>
      <c r="AB254" s="3939" t="s">
        <v>66</v>
      </c>
      <c r="AC254" s="3936">
        <v>54.69</v>
      </c>
      <c r="AD254" s="3936"/>
      <c r="AE254" s="3937"/>
      <c r="AF254" s="3938">
        <v>45658</v>
      </c>
      <c r="AG254" s="3939" t="s">
        <v>66</v>
      </c>
      <c r="AH254" s="4006">
        <v>45838</v>
      </c>
      <c r="AI254" s="3939" t="s">
        <v>66</v>
      </c>
      <c r="AJ254" s="3936">
        <v>102.47</v>
      </c>
      <c r="AK254" s="3936"/>
      <c r="AL254" s="3937"/>
      <c r="AM254" s="3938">
        <v>45839</v>
      </c>
      <c r="AN254" s="3939" t="s">
        <v>66</v>
      </c>
      <c r="AO254" s="3938">
        <v>46022</v>
      </c>
      <c r="AP254" s="3939" t="s">
        <v>66</v>
      </c>
      <c r="AQ254" s="4033"/>
      <c r="AR254" s="4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254" s="3983">
        <f>STRCHECKDATE(V255:AQ255)</f>
      </c>
      <c r="AT254" s="4030"/>
      <c r="AU254" s="4030" t="str">
        <f>IF(T254="","",T254)</f>
        <v/>
      </c>
      <c r="AV254" s="4030"/>
      <c r="AW254" s="4030"/>
      <c r="AX254" s="3916">
        <v>0</v>
      </c>
    </row>
    <row s="11146" customFormat="1" customHeight="1" ht="14.25">
      <c r="A255" s="4017"/>
      <c r="B255" s="4017"/>
      <c r="C255" s="4017"/>
      <c r="D255" s="4017"/>
      <c r="E255" s="4018"/>
      <c r="F255" s="4018"/>
      <c r="G255" s="4018"/>
      <c r="H255" s="4018"/>
      <c r="I255" s="4019"/>
      <c r="J255" s="4019" t="str">
        <f>I244&amp;".2"</f>
        <v>1.11.1.1.2</v>
      </c>
      <c r="K255" s="4020"/>
      <c r="L255" s="4021"/>
      <c r="M255" s="4022"/>
      <c r="N255" s="4022"/>
      <c r="O255" s="4022"/>
      <c r="P255" s="4023"/>
      <c r="Q255" s="4023"/>
      <c r="R255" s="4025"/>
      <c r="S255" s="4036"/>
      <c r="T255" s="4028"/>
      <c r="U255" s="4028"/>
      <c r="V255" s="3943"/>
      <c r="W255" s="3943"/>
      <c r="X255" s="3944" t="str">
        <f>Y254&amp;"-"&amp;AA254</f>
        <v>-</v>
      </c>
      <c r="Y255" s="3945"/>
      <c r="Z255" s="3939"/>
      <c r="AA255" s="3945"/>
      <c r="AB255" s="3939"/>
      <c r="AC255" s="3943"/>
      <c r="AD255" s="3943"/>
      <c r="AE255" s="3944" t="str">
        <f>AF254&amp;"-"&amp;AH254</f>
        <v>45658-45838</v>
      </c>
      <c r="AF255" s="3945"/>
      <c r="AG255" s="3939"/>
      <c r="AH255" s="4008"/>
      <c r="AI255" s="3939"/>
      <c r="AJ255" s="3943"/>
      <c r="AK255" s="3943"/>
      <c r="AL255" s="3944" t="str">
        <f>AM254&amp;"-"&amp;AO254</f>
        <v>45839-46022</v>
      </c>
      <c r="AM255" s="3945"/>
      <c r="AN255" s="3939"/>
      <c r="AO255" s="3945"/>
      <c r="AP255" s="3939"/>
      <c r="AQ255" s="4037"/>
      <c r="AR255" s="4034"/>
      <c r="AS255" s="3983"/>
      <c r="AT255" s="4030"/>
      <c r="AU255" s="4030" t="str">
        <f>IF(T255="","",T255)</f>
        <v/>
      </c>
      <c r="AV255" s="4030"/>
      <c r="AW255" s="4030"/>
      <c r="AX255" s="3916">
        <v>0</v>
      </c>
    </row>
    <row s="11147" customFormat="1" customHeight="1" ht="21">
      <c r="A256" s="4017"/>
      <c r="B256" s="4017"/>
      <c r="C256" s="4017"/>
      <c r="D256" s="4017"/>
      <c r="E256" s="4018"/>
      <c r="F256" s="4018"/>
      <c r="G256" s="4018"/>
      <c r="H256" s="4018"/>
      <c r="I256" s="4019"/>
      <c r="J256" s="4020" t="str">
        <f>I244&amp;".2"</f>
        <v>1.11.1.1.2</v>
      </c>
      <c r="K256" s="4017"/>
      <c r="L256" s="4021"/>
      <c r="M256" s="4022"/>
      <c r="N256" s="4022"/>
      <c r="O256" s="4022"/>
      <c r="P256" s="4023"/>
      <c r="Q256" s="4023"/>
      <c r="R256" s="4039"/>
      <c r="S256" s="5673"/>
      <c r="T256" s="5674" t="s">
        <v>611</v>
      </c>
      <c r="U256" s="5675"/>
      <c r="V256" s="5676"/>
      <c r="W256" s="5677"/>
      <c r="X256" s="5678"/>
      <c r="Y256" s="5679"/>
      <c r="Z256" s="5680"/>
      <c r="AA256" s="5681"/>
      <c r="AB256" s="5682"/>
      <c r="AC256" s="5683"/>
      <c r="AD256" s="5684"/>
      <c r="AE256" s="5685"/>
      <c r="AF256" s="5686"/>
      <c r="AG256" s="5687"/>
      <c r="AH256" s="5688"/>
      <c r="AI256" s="5689"/>
      <c r="AJ256" s="5690"/>
      <c r="AK256" s="5691"/>
      <c r="AL256" s="5692"/>
      <c r="AM256" s="5693"/>
      <c r="AN256" s="5694"/>
      <c r="AO256" s="5695"/>
      <c r="AP256" s="5696"/>
      <c r="AQ256" s="5697"/>
      <c r="AR256" s="4065" t="s">
        <v>612</v>
      </c>
      <c r="AS256" s="3983"/>
      <c r="AT256" s="4030"/>
      <c r="AU256" s="4030" t="str">
        <f>IF(T256="","",T256)</f>
        <v>Добавить значение признака дифференциации</v>
      </c>
      <c r="AV256" s="4030"/>
      <c r="AW256" s="4030"/>
      <c r="AX256" s="3916">
        <v>0</v>
      </c>
    </row>
    <row s="11173" customFormat="1" customHeight="1" ht="21">
      <c r="A257" s="4017"/>
      <c r="B257" s="4017"/>
      <c r="C257" s="4017"/>
      <c r="D257" s="4017"/>
      <c r="E257" s="4018"/>
      <c r="F257" s="4018" t="s">
        <v>141</v>
      </c>
      <c r="G257" s="4018"/>
      <c r="H257" s="4018"/>
      <c r="I257" s="4020"/>
      <c r="J257" s="4017"/>
      <c r="K257" s="4017"/>
      <c r="L257" s="4021"/>
      <c r="M257" s="4022"/>
      <c r="N257" s="4022"/>
      <c r="O257" s="4022"/>
      <c r="P257" s="4023"/>
      <c r="Q257" s="4023"/>
      <c r="R257" s="4039"/>
      <c r="S257" s="5699"/>
      <c r="T257" s="5700" t="s">
        <v>540</v>
      </c>
      <c r="U257" s="5701"/>
      <c r="V257" s="5702"/>
      <c r="W257" s="5703"/>
      <c r="X257" s="5704"/>
      <c r="Y257" s="5705"/>
      <c r="Z257" s="5706"/>
      <c r="AA257" s="5707"/>
      <c r="AB257" s="5708"/>
      <c r="AC257" s="5709"/>
      <c r="AD257" s="5710"/>
      <c r="AE257" s="5711"/>
      <c r="AF257" s="5712"/>
      <c r="AG257" s="5713"/>
      <c r="AH257" s="5714"/>
      <c r="AI257" s="5715"/>
      <c r="AJ257" s="5716"/>
      <c r="AK257" s="5717"/>
      <c r="AL257" s="5718"/>
      <c r="AM257" s="5719"/>
      <c r="AN257" s="5720"/>
      <c r="AO257" s="5721"/>
      <c r="AP257" s="5722"/>
      <c r="AQ257" s="5723"/>
      <c r="AR257" s="5724"/>
      <c r="AS257" s="3983"/>
      <c r="AT257" s="4030"/>
      <c r="AU257" s="4030" t="str">
        <f>IF(T257="","",T257)</f>
        <v>Добавить группу потребителей</v>
      </c>
      <c r="AV257" s="4030"/>
      <c r="AW257" s="4030"/>
      <c r="AX257" s="3916">
        <v>0</v>
      </c>
    </row>
    <row s="11200" customFormat="1" customHeight="1" ht="14.25">
      <c r="A258" s="4017"/>
      <c r="B258" s="4017"/>
      <c r="C258" s="4017"/>
      <c r="D258" s="4017"/>
      <c r="E258" s="4018"/>
      <c r="F258" s="4018" t="s">
        <v>141</v>
      </c>
      <c r="G258" s="4018"/>
      <c r="H258" s="4110"/>
      <c r="I258" s="4017"/>
      <c r="J258" s="4017"/>
      <c r="K258" s="4017"/>
      <c r="L258" s="4021"/>
      <c r="M258" s="4111"/>
      <c r="N258" s="4111"/>
      <c r="O258" s="3973"/>
      <c r="P258" s="4239"/>
      <c r="Q258" s="4240"/>
      <c r="R258" s="4241"/>
      <c r="S258" s="5726"/>
      <c r="T258" s="5727" t="s">
        <v>613</v>
      </c>
      <c r="U258" s="5728"/>
      <c r="V258" s="5729"/>
      <c r="W258" s="5730"/>
      <c r="X258" s="5731"/>
      <c r="Y258" s="5732"/>
      <c r="Z258" s="5733"/>
      <c r="AA258" s="5734"/>
      <c r="AB258" s="5735"/>
      <c r="AC258" s="5736"/>
      <c r="AD258" s="5737"/>
      <c r="AE258" s="5738"/>
      <c r="AF258" s="5739"/>
      <c r="AG258" s="5740"/>
      <c r="AH258" s="5741"/>
      <c r="AI258" s="5742"/>
      <c r="AJ258" s="5743"/>
      <c r="AK258" s="5744"/>
      <c r="AL258" s="5745"/>
      <c r="AM258" s="5746"/>
      <c r="AN258" s="5747"/>
      <c r="AO258" s="5748"/>
      <c r="AP258" s="5749"/>
      <c r="AQ258" s="5750"/>
      <c r="AR258" s="5751"/>
      <c r="AS258" s="3983"/>
      <c r="AT258" s="4030"/>
      <c r="AU258" s="4030" t="str">
        <f>IF(T258="","",T258)</f>
        <v>Добавить наименование признака дифференциации</v>
      </c>
      <c r="AV258" s="4030"/>
      <c r="AW258" s="4030"/>
      <c r="AX258" s="3916">
        <v>0</v>
      </c>
    </row>
    <row s="11227" customFormat="1" customHeight="1" ht="14.25">
      <c r="A259" s="4269"/>
      <c r="B259" s="4269"/>
      <c r="C259" s="4269"/>
      <c r="D259" s="4269"/>
      <c r="E259" s="4018"/>
      <c r="F259" s="4110" t="s">
        <v>141</v>
      </c>
      <c r="G259" s="4269"/>
      <c r="H259" s="4269"/>
      <c r="I259" s="4269"/>
      <c r="J259" s="4269"/>
      <c r="K259" s="4269"/>
      <c r="L259" s="4270"/>
      <c r="M259" s="4271"/>
      <c r="N259" s="4271"/>
      <c r="O259" s="3983"/>
      <c r="P259" s="4272"/>
      <c r="Q259" s="4273"/>
      <c r="R259" s="4272"/>
      <c r="S259" s="4274"/>
      <c r="T259" s="4275" t="s">
        <v>298</v>
      </c>
      <c r="U259" s="3971"/>
      <c r="V259" s="3971"/>
      <c r="W259" s="3971"/>
      <c r="X259" s="3971"/>
      <c r="Y259" s="3971"/>
      <c r="Z259" s="3971"/>
      <c r="AA259" s="3971"/>
      <c r="AB259" s="3971"/>
      <c r="AC259" s="3971"/>
      <c r="AD259" s="3971"/>
      <c r="AE259" s="3971"/>
      <c r="AF259" s="3971"/>
      <c r="AG259" s="3971"/>
      <c r="AH259" s="3971"/>
      <c r="AI259" s="3971"/>
      <c r="AJ259" s="3971"/>
      <c r="AK259" s="3971"/>
      <c r="AL259" s="3971"/>
      <c r="AM259" s="3971"/>
      <c r="AN259" s="3971"/>
      <c r="AO259" s="3971"/>
      <c r="AP259" s="3971"/>
      <c r="AQ259" s="3971"/>
      <c r="AR259" s="3971"/>
      <c r="AS259" s="3983"/>
      <c r="AT259" s="4030"/>
      <c r="AU259" s="4030" t="str">
        <f>IF(T259="","",T259)</f>
        <v>Добавить централизованную систему для дифференциации</v>
      </c>
      <c r="AV259" s="4030"/>
      <c r="AW259" s="4030"/>
      <c r="AX259" s="3983">
        <v>0</v>
      </c>
    </row>
    <row s="11228" customFormat="1" customHeight="1" ht="23.25">
      <c r="A260" s="4017"/>
      <c r="B260" s="4017" t="s">
        <v>333</v>
      </c>
      <c r="C260" s="4017"/>
      <c r="D260" s="4017"/>
      <c r="E260" s="4018"/>
      <c r="F260" s="4110" t="s">
        <v>151</v>
      </c>
      <c r="G260" s="4017"/>
      <c r="H260" s="4017"/>
      <c r="I260" s="4017"/>
      <c r="J260" s="4017"/>
      <c r="K260" s="4017"/>
      <c r="L260" s="4021"/>
      <c r="M260" s="4111"/>
      <c r="N260" s="4111"/>
      <c r="O260" s="4111"/>
      <c r="P260" s="4112"/>
      <c r="Q260" s="4113"/>
      <c r="R260" s="4114"/>
      <c r="S260" s="4026" t="str">
        <f>INDEX(PT_DIFFERENTIATION_NUM_TER,MATCH(B260,PT_DIFFERENTIATION_TER_ID,0))</f>
        <v>1.12</v>
      </c>
      <c r="T260" s="4115" t="s">
        <v>525</v>
      </c>
      <c r="U260" s="4028"/>
      <c r="V260" s="3918"/>
      <c r="W260" s="3919"/>
      <c r="X260" s="3919"/>
      <c r="Y260" s="3919"/>
      <c r="Z260" s="3919"/>
      <c r="AA260" s="3919"/>
      <c r="AB260" s="3920"/>
      <c r="AC260" s="3918" t="str">
        <f>INDEX(PT_DIFFERENTIATION_TER,MATCH(B260,PT_DIFFERENTIATION_TER_ID,0))</f>
        <v>Территория 12</v>
      </c>
      <c r="AD260" s="3919"/>
      <c r="AE260" s="3919"/>
      <c r="AF260" s="3919"/>
      <c r="AG260" s="3919"/>
      <c r="AH260" s="3919"/>
      <c r="AI260" s="3919"/>
      <c r="AJ260" s="3918"/>
      <c r="AK260" s="3919"/>
      <c r="AL260" s="3919"/>
      <c r="AM260" s="3919"/>
      <c r="AN260" s="3919"/>
      <c r="AO260" s="3919"/>
      <c r="AP260" s="3920"/>
      <c r="AQ260" s="3920"/>
      <c r="AR260" s="4065" t="s">
        <v>526</v>
      </c>
      <c r="AS260" s="3983"/>
      <c r="AT260" s="4030"/>
      <c r="AU260" s="4030" t="str">
        <f>IF(T260="","",T260)</f>
        <v>Территория действия тарифа</v>
      </c>
      <c r="AV260" s="4030"/>
      <c r="AW260" s="4030"/>
      <c r="AX260" s="3916">
        <v>0</v>
      </c>
    </row>
    <row s="11229" customFormat="1" customHeight="1" ht="23.25">
      <c r="A261" s="4017"/>
      <c r="B261" s="4017"/>
      <c r="C261" s="4017" t="s">
        <v>334</v>
      </c>
      <c r="D261" s="4017"/>
      <c r="E261" s="4018"/>
      <c r="F261" s="4018" t="s">
        <v>146</v>
      </c>
      <c r="G261" s="4110">
        <v>1</v>
      </c>
      <c r="H261" s="4017"/>
      <c r="I261" s="4017"/>
      <c r="J261" s="4017"/>
      <c r="K261" s="4017"/>
      <c r="L261" s="4021"/>
      <c r="M261" s="4111"/>
      <c r="N261" s="4111"/>
      <c r="O261" s="4111"/>
      <c r="P261" s="4117"/>
      <c r="Q261" s="4113"/>
      <c r="R261" s="4114"/>
      <c r="S261" s="4026" t="str">
        <f>INDEX(PT_DIFFERENTIATION_NUM_CS,MATCH(C261,PT_DIFFERENTIATION_CS_ID,0))</f>
        <v>1.12.1</v>
      </c>
      <c r="T261" s="4118" t="s">
        <v>606</v>
      </c>
      <c r="U261" s="4028"/>
      <c r="V261" s="3918"/>
      <c r="W261" s="3919"/>
      <c r="X261" s="3919"/>
      <c r="Y261" s="3919"/>
      <c r="Z261" s="3919"/>
      <c r="AA261" s="3919"/>
      <c r="AB261" s="3920"/>
      <c r="AC261" s="3918" t="str">
        <f>INDEX(PT_DIFFERENTIATION_CS,MATCH(C261,PT_DIFFERENTIATION_CS_ID,0))</f>
        <v>без дифференциации</v>
      </c>
      <c r="AD261" s="3919"/>
      <c r="AE261" s="3919"/>
      <c r="AF261" s="3919"/>
      <c r="AG261" s="3919"/>
      <c r="AH261" s="3919"/>
      <c r="AI261" s="3919"/>
      <c r="AJ261" s="3918"/>
      <c r="AK261" s="3919"/>
      <c r="AL261" s="3919"/>
      <c r="AM261" s="3919"/>
      <c r="AN261" s="3919"/>
      <c r="AO261" s="3919"/>
      <c r="AP261" s="3920"/>
      <c r="AQ261" s="3920"/>
      <c r="AR261" s="4065" t="s">
        <v>607</v>
      </c>
      <c r="AS261" s="3983"/>
      <c r="AT261" s="4030"/>
      <c r="AU261" s="4030" t="str">
        <f>IF(T261="","",T261)</f>
        <v>Наименование централизованной системы холодного водоснабжения</v>
      </c>
      <c r="AV261" s="4030"/>
      <c r="AW261" s="4030"/>
      <c r="AX261" s="3916">
        <v>0</v>
      </c>
    </row>
    <row s="11230" customFormat="1" customHeight="1" ht="23.25">
      <c r="A262" s="4017"/>
      <c r="B262" s="4017"/>
      <c r="C262" s="4017"/>
      <c r="D262" s="4017"/>
      <c r="E262" s="4018"/>
      <c r="F262" s="4018" t="s">
        <v>146</v>
      </c>
      <c r="G262" s="4018"/>
      <c r="H262" s="4018"/>
      <c r="I262" s="4020" t="str">
        <f>S261&amp;".1"</f>
        <v>1.12.1.1</v>
      </c>
      <c r="J262" s="4017"/>
      <c r="K262" s="4017"/>
      <c r="L262" s="4021"/>
      <c r="M262" s="4022"/>
      <c r="N262" s="4022"/>
      <c r="O262" s="4022"/>
      <c r="P262" s="4023">
        <v>1</v>
      </c>
      <c r="Q262" s="4023"/>
      <c r="R262" s="4039"/>
      <c r="S262" s="4026" t="str">
        <f>$I262</f>
        <v>1.12.1.1</v>
      </c>
      <c r="T262" s="4120" t="s">
        <v>608</v>
      </c>
      <c r="U262" s="4028"/>
      <c r="V262" s="3928"/>
      <c r="W262" s="3929"/>
      <c r="X262" s="3929"/>
      <c r="Y262" s="3929"/>
      <c r="Z262" s="3929"/>
      <c r="AA262" s="3929"/>
      <c r="AB262" s="3930"/>
      <c r="AC262" s="4121"/>
      <c r="AD262" s="4122"/>
      <c r="AE262" s="4122"/>
      <c r="AF262" s="4122"/>
      <c r="AG262" s="4122"/>
      <c r="AH262" s="4122"/>
      <c r="AI262" s="4122"/>
      <c r="AJ262" s="3928"/>
      <c r="AK262" s="3929"/>
      <c r="AL262" s="3929"/>
      <c r="AM262" s="3929"/>
      <c r="AN262" s="3929"/>
      <c r="AO262" s="3929"/>
      <c r="AP262" s="3930"/>
      <c r="AQ262" s="4123"/>
      <c r="AR262" s="4065" t="s">
        <v>609</v>
      </c>
      <c r="AS262" s="3983"/>
      <c r="AT262" s="4030"/>
      <c r="AU262" s="4030" t="str">
        <f>IF(T262="","",T262)</f>
        <v>Наименование признака дифференциации</v>
      </c>
      <c r="AV262" s="4030"/>
      <c r="AW262" s="4030"/>
      <c r="AX262" s="3916">
        <v>0</v>
      </c>
    </row>
    <row s="11231" customFormat="1" customHeight="1" ht="23.25">
      <c r="A263" s="4017"/>
      <c r="B263" s="4017"/>
      <c r="C263" s="4017"/>
      <c r="D263" s="4017"/>
      <c r="E263" s="4018"/>
      <c r="F263" s="4018" t="s">
        <v>146</v>
      </c>
      <c r="G263" s="4018"/>
      <c r="H263" s="4018"/>
      <c r="I263" s="4019"/>
      <c r="J263" s="4020" t="str">
        <f>I262&amp;".1"</f>
        <v>1.12.1.1.1</v>
      </c>
      <c r="K263" s="4017"/>
      <c r="L263" s="4021" t="s">
        <v>534</v>
      </c>
      <c r="M263" s="4022"/>
      <c r="N263" s="4022"/>
      <c r="O263" s="4022"/>
      <c r="P263" s="4023"/>
      <c r="Q263" s="4023">
        <v>1</v>
      </c>
      <c r="R263" s="4025"/>
      <c r="S263" s="4026" t="str">
        <f>$J263</f>
        <v>1.12.1.1.1</v>
      </c>
      <c r="T263" s="4027" t="s">
        <v>535</v>
      </c>
      <c r="U263" s="4028"/>
      <c r="V263" s="3932"/>
      <c r="W263" s="3933"/>
      <c r="X263" s="3933"/>
      <c r="Y263" s="3933"/>
      <c r="Z263" s="3933"/>
      <c r="AA263" s="3933"/>
      <c r="AB263" s="3934"/>
      <c r="AC263" s="3932" t="s">
        <v>621</v>
      </c>
      <c r="AD263" s="3933"/>
      <c r="AE263" s="3933"/>
      <c r="AF263" s="3933"/>
      <c r="AG263" s="3933"/>
      <c r="AH263" s="3933"/>
      <c r="AI263" s="3933"/>
      <c r="AJ263" s="3932"/>
      <c r="AK263" s="3933"/>
      <c r="AL263" s="3933"/>
      <c r="AM263" s="3933"/>
      <c r="AN263" s="3933"/>
      <c r="AO263" s="3933"/>
      <c r="AP263" s="3934"/>
      <c r="AQ263" s="3934"/>
      <c r="AR263" s="4029" t="s">
        <v>610</v>
      </c>
      <c r="AS263" s="3983"/>
      <c r="AT263" s="4030"/>
      <c r="AU263" s="4030" t="str">
        <f>IF(T263="","",T263)</f>
        <v>Группа потребителей</v>
      </c>
      <c r="AV263" s="4030"/>
      <c r="AW263" s="4030"/>
      <c r="AX263" s="3916">
        <v>0</v>
      </c>
    </row>
    <row s="11232" customFormat="1" customHeight="1" ht="23.25">
      <c r="A264" s="4017"/>
      <c r="B264" s="4017"/>
      <c r="C264" s="4017"/>
      <c r="D264" s="4017"/>
      <c r="E264" s="4018"/>
      <c r="F264" s="4018" t="s">
        <v>146</v>
      </c>
      <c r="G264" s="4018"/>
      <c r="H264" s="4018"/>
      <c r="I264" s="4019"/>
      <c r="J264" s="4019"/>
      <c r="K264" s="4020" t="str">
        <f>J263&amp;".1"</f>
        <v>1.12.1.1.1.1</v>
      </c>
      <c r="L264" s="4021"/>
      <c r="M264" s="4022"/>
      <c r="N264" s="4022"/>
      <c r="O264" s="4022"/>
      <c r="P264" s="4023"/>
      <c r="Q264" s="4023"/>
      <c r="R264" s="4025">
        <v>1</v>
      </c>
      <c r="S264" s="4026" t="str">
        <f>$K264</f>
        <v>1.12.1.1.1.1</v>
      </c>
      <c r="T264" s="4032"/>
      <c r="U264" s="4028"/>
      <c r="V264" s="3936"/>
      <c r="W264" s="3936"/>
      <c r="X264" s="3937"/>
      <c r="Y264" s="3938"/>
      <c r="Z264" s="3939" t="s">
        <v>66</v>
      </c>
      <c r="AA264" s="3938"/>
      <c r="AB264" s="3939" t="s">
        <v>66</v>
      </c>
      <c r="AC264" s="3936">
        <v>30.25</v>
      </c>
      <c r="AD264" s="3936"/>
      <c r="AE264" s="3937"/>
      <c r="AF264" s="3938">
        <v>45658</v>
      </c>
      <c r="AG264" s="3939" t="s">
        <v>66</v>
      </c>
      <c r="AH264" s="4006">
        <v>45838</v>
      </c>
      <c r="AI264" s="3939" t="s">
        <v>66</v>
      </c>
      <c r="AJ264" s="3936">
        <v>32.67</v>
      </c>
      <c r="AK264" s="3936"/>
      <c r="AL264" s="3937"/>
      <c r="AM264" s="3938">
        <v>45839</v>
      </c>
      <c r="AN264" s="3939" t="s">
        <v>66</v>
      </c>
      <c r="AO264" s="3938">
        <v>46022</v>
      </c>
      <c r="AP264" s="3939" t="s">
        <v>66</v>
      </c>
      <c r="AQ264" s="4033"/>
      <c r="AR264" s="4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264" s="3983">
        <f>STRCHECKDATE(V265:AQ265)</f>
      </c>
      <c r="AT264" s="4030"/>
      <c r="AU264" s="4030" t="str">
        <f>IF(T264="","",T264)</f>
        <v/>
      </c>
      <c r="AV264" s="4030"/>
      <c r="AW264" s="4030"/>
      <c r="AX264" s="3916">
        <v>0</v>
      </c>
    </row>
    <row s="11233" customFormat="1" customHeight="1" ht="14.25">
      <c r="A265" s="4017"/>
      <c r="B265" s="4017"/>
      <c r="C265" s="4017"/>
      <c r="D265" s="4017"/>
      <c r="E265" s="4018"/>
      <c r="F265" s="4018" t="s">
        <v>146</v>
      </c>
      <c r="G265" s="4018"/>
      <c r="H265" s="4018"/>
      <c r="I265" s="4019"/>
      <c r="J265" s="4019"/>
      <c r="K265" s="4020"/>
      <c r="L265" s="4021"/>
      <c r="M265" s="4022"/>
      <c r="N265" s="4022"/>
      <c r="O265" s="4022"/>
      <c r="P265" s="4023"/>
      <c r="Q265" s="4023"/>
      <c r="R265" s="4025"/>
      <c r="S265" s="4036"/>
      <c r="T265" s="4028"/>
      <c r="U265" s="4028"/>
      <c r="V265" s="3943"/>
      <c r="W265" s="3943"/>
      <c r="X265" s="3944" t="str">
        <f>Y264&amp;"-"&amp;AA264</f>
        <v>-</v>
      </c>
      <c r="Y265" s="3945"/>
      <c r="Z265" s="3939"/>
      <c r="AA265" s="3945"/>
      <c r="AB265" s="3939"/>
      <c r="AC265" s="3943"/>
      <c r="AD265" s="3943"/>
      <c r="AE265" s="3944" t="str">
        <f>AF264&amp;"-"&amp;AH264</f>
        <v>45658-45838</v>
      </c>
      <c r="AF265" s="3945"/>
      <c r="AG265" s="3939"/>
      <c r="AH265" s="4008"/>
      <c r="AI265" s="3939"/>
      <c r="AJ265" s="3943"/>
      <c r="AK265" s="3943"/>
      <c r="AL265" s="3944" t="str">
        <f>AM264&amp;"-"&amp;AO264</f>
        <v>45839-46022</v>
      </c>
      <c r="AM265" s="3945"/>
      <c r="AN265" s="3939"/>
      <c r="AO265" s="3945"/>
      <c r="AP265" s="3939"/>
      <c r="AQ265" s="4037"/>
      <c r="AR265" s="4034"/>
      <c r="AS265" s="3983"/>
      <c r="AT265" s="4030"/>
      <c r="AU265" s="4030" t="str">
        <f>IF(T265="","",T265)</f>
        <v/>
      </c>
      <c r="AV265" s="4030"/>
      <c r="AW265" s="4030"/>
      <c r="AX265" s="3916">
        <v>0</v>
      </c>
    </row>
    <row s="11234" customFormat="1" customHeight="1" ht="21">
      <c r="A266" s="4017"/>
      <c r="B266" s="4017"/>
      <c r="C266" s="4017"/>
      <c r="D266" s="4017"/>
      <c r="E266" s="4018"/>
      <c r="F266" s="4018" t="s">
        <v>146</v>
      </c>
      <c r="G266" s="4018"/>
      <c r="H266" s="4018"/>
      <c r="I266" s="4019"/>
      <c r="J266" s="4020"/>
      <c r="K266" s="4017"/>
      <c r="L266" s="4021"/>
      <c r="M266" s="4022"/>
      <c r="N266" s="4022"/>
      <c r="O266" s="4022"/>
      <c r="P266" s="4023"/>
      <c r="Q266" s="4023"/>
      <c r="R266" s="4039"/>
      <c r="S266" s="5760"/>
      <c r="T266" s="5761" t="s">
        <v>611</v>
      </c>
      <c r="U266" s="5762"/>
      <c r="V266" s="5763"/>
      <c r="W266" s="5764"/>
      <c r="X266" s="5765"/>
      <c r="Y266" s="5766"/>
      <c r="Z266" s="5767"/>
      <c r="AA266" s="5768"/>
      <c r="AB266" s="5769"/>
      <c r="AC266" s="5770"/>
      <c r="AD266" s="5771"/>
      <c r="AE266" s="5772"/>
      <c r="AF266" s="5773"/>
      <c r="AG266" s="5774"/>
      <c r="AH266" s="5775"/>
      <c r="AI266" s="5776"/>
      <c r="AJ266" s="5777"/>
      <c r="AK266" s="5778"/>
      <c r="AL266" s="5779"/>
      <c r="AM266" s="5780"/>
      <c r="AN266" s="5781"/>
      <c r="AO266" s="5782"/>
      <c r="AP266" s="5783"/>
      <c r="AQ266" s="5784"/>
      <c r="AR266" s="4065" t="s">
        <v>612</v>
      </c>
      <c r="AS266" s="3983"/>
      <c r="AT266" s="4030"/>
      <c r="AU266" s="4030" t="str">
        <f>IF(T266="","",T266)</f>
        <v>Добавить значение признака дифференциации</v>
      </c>
      <c r="AV266" s="4030"/>
      <c r="AW266" s="4030"/>
      <c r="AX266" s="3916">
        <v>0</v>
      </c>
    </row>
    <row s="11260" customFormat="1" customHeight="1" ht="23.25">
      <c r="A267" s="4017"/>
      <c r="B267" s="4017"/>
      <c r="C267" s="4017"/>
      <c r="D267" s="4017"/>
      <c r="E267" s="4018"/>
      <c r="F267" s="4018"/>
      <c r="G267" s="4018"/>
      <c r="H267" s="4018"/>
      <c r="I267" s="4019"/>
      <c r="J267" s="4020" t="str">
        <f>I262&amp;".2"</f>
        <v>1.12.1.1.2</v>
      </c>
      <c r="K267" s="4017"/>
      <c r="L267" s="4021" t="s">
        <v>534</v>
      </c>
      <c r="M267" s="4022"/>
      <c r="N267" s="4022"/>
      <c r="O267" s="4022"/>
      <c r="P267" s="4023"/>
      <c r="Q267" s="4024" t="s">
        <v>105</v>
      </c>
      <c r="R267" s="4025"/>
      <c r="S267" s="4026" t="str">
        <f>$J267</f>
        <v>1.12.1.1.2</v>
      </c>
      <c r="T267" s="4027" t="s">
        <v>535</v>
      </c>
      <c r="U267" s="4028"/>
      <c r="V267" s="3932"/>
      <c r="W267" s="3933"/>
      <c r="X267" s="3933"/>
      <c r="Y267" s="3933"/>
      <c r="Z267" s="3933"/>
      <c r="AA267" s="3933"/>
      <c r="AB267" s="3934"/>
      <c r="AC267" s="3932" t="s">
        <v>622</v>
      </c>
      <c r="AD267" s="3933"/>
      <c r="AE267" s="3933"/>
      <c r="AF267" s="3933"/>
      <c r="AG267" s="3933"/>
      <c r="AH267" s="3933"/>
      <c r="AI267" s="3933"/>
      <c r="AJ267" s="3932"/>
      <c r="AK267" s="3933"/>
      <c r="AL267" s="3933"/>
      <c r="AM267" s="3933"/>
      <c r="AN267" s="3933"/>
      <c r="AO267" s="3933"/>
      <c r="AP267" s="3934"/>
      <c r="AQ267" s="3934"/>
      <c r="AR267" s="4029" t="s">
        <v>610</v>
      </c>
      <c r="AS267" s="3983"/>
      <c r="AT267" s="4030"/>
      <c r="AU267" s="4030" t="str">
        <f>IF(T267="","",T267)</f>
        <v>Группа потребителей</v>
      </c>
      <c r="AV267" s="4030"/>
      <c r="AW267" s="4030"/>
      <c r="AX267" s="3916">
        <v>0</v>
      </c>
    </row>
    <row s="11261" customFormat="1" customHeight="1" ht="23.25">
      <c r="A268" s="4017"/>
      <c r="B268" s="4017"/>
      <c r="C268" s="4017"/>
      <c r="D268" s="4017"/>
      <c r="E268" s="4018"/>
      <c r="F268" s="4018"/>
      <c r="G268" s="4018"/>
      <c r="H268" s="4018"/>
      <c r="I268" s="4019"/>
      <c r="J268" s="4019" t="str">
        <f>I262&amp;".1"</f>
        <v>1.12.1.1.1</v>
      </c>
      <c r="K268" s="4020" t="str">
        <f>J267&amp;".1"</f>
        <v>1.12.1.1.2.1</v>
      </c>
      <c r="L268" s="4021"/>
      <c r="M268" s="4022"/>
      <c r="N268" s="4022"/>
      <c r="O268" s="4022"/>
      <c r="P268" s="4023"/>
      <c r="Q268" s="4023"/>
      <c r="R268" s="4025">
        <v>1</v>
      </c>
      <c r="S268" s="4026" t="str">
        <f>$K268</f>
        <v>1.12.1.1.2.1</v>
      </c>
      <c r="T268" s="4032"/>
      <c r="U268" s="4028"/>
      <c r="V268" s="3936"/>
      <c r="W268" s="3936"/>
      <c r="X268" s="3937"/>
      <c r="Y268" s="3938"/>
      <c r="Z268" s="3939" t="s">
        <v>66</v>
      </c>
      <c r="AA268" s="3938"/>
      <c r="AB268" s="3939" t="s">
        <v>66</v>
      </c>
      <c r="AC268" s="3936">
        <v>45.28</v>
      </c>
      <c r="AD268" s="3936"/>
      <c r="AE268" s="3937"/>
      <c r="AF268" s="3938">
        <v>45658</v>
      </c>
      <c r="AG268" s="3939" t="s">
        <v>66</v>
      </c>
      <c r="AH268" s="4006">
        <v>45838</v>
      </c>
      <c r="AI268" s="3939" t="s">
        <v>66</v>
      </c>
      <c r="AJ268" s="3936">
        <v>59.92</v>
      </c>
      <c r="AK268" s="3936"/>
      <c r="AL268" s="3937"/>
      <c r="AM268" s="3938">
        <v>45839</v>
      </c>
      <c r="AN268" s="3939" t="s">
        <v>66</v>
      </c>
      <c r="AO268" s="3938">
        <v>46022</v>
      </c>
      <c r="AP268" s="3939" t="s">
        <v>66</v>
      </c>
      <c r="AQ268" s="4033"/>
      <c r="AR268" s="4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268" s="3983">
        <f>STRCHECKDATE(V269:AQ269)</f>
      </c>
      <c r="AT268" s="4030"/>
      <c r="AU268" s="4030" t="str">
        <f>IF(T268="","",T268)</f>
        <v/>
      </c>
      <c r="AV268" s="4030"/>
      <c r="AW268" s="4030"/>
      <c r="AX268" s="3916">
        <v>0</v>
      </c>
    </row>
    <row s="11262" customFormat="1" customHeight="1" ht="14.25">
      <c r="A269" s="4017"/>
      <c r="B269" s="4017"/>
      <c r="C269" s="4017"/>
      <c r="D269" s="4017"/>
      <c r="E269" s="4018"/>
      <c r="F269" s="4018"/>
      <c r="G269" s="4018"/>
      <c r="H269" s="4018"/>
      <c r="I269" s="4019"/>
      <c r="J269" s="4019" t="str">
        <f>I262&amp;".1"</f>
        <v>1.12.1.1.1</v>
      </c>
      <c r="K269" s="4020"/>
      <c r="L269" s="4021"/>
      <c r="M269" s="4022"/>
      <c r="N269" s="4022"/>
      <c r="O269" s="4022"/>
      <c r="P269" s="4023"/>
      <c r="Q269" s="4023"/>
      <c r="R269" s="4025"/>
      <c r="S269" s="4036"/>
      <c r="T269" s="4028"/>
      <c r="U269" s="4028"/>
      <c r="V269" s="3943"/>
      <c r="W269" s="3943"/>
      <c r="X269" s="3944" t="str">
        <f>Y268&amp;"-"&amp;AA268</f>
        <v>-</v>
      </c>
      <c r="Y269" s="3945"/>
      <c r="Z269" s="3939"/>
      <c r="AA269" s="3945"/>
      <c r="AB269" s="3939"/>
      <c r="AC269" s="3943"/>
      <c r="AD269" s="3943"/>
      <c r="AE269" s="3944" t="str">
        <f>AF268&amp;"-"&amp;AH268</f>
        <v>45658-45838</v>
      </c>
      <c r="AF269" s="3945"/>
      <c r="AG269" s="3939"/>
      <c r="AH269" s="4008"/>
      <c r="AI269" s="3939"/>
      <c r="AJ269" s="3943"/>
      <c r="AK269" s="3943"/>
      <c r="AL269" s="3944" t="str">
        <f>AM268&amp;"-"&amp;AO268</f>
        <v>45839-46022</v>
      </c>
      <c r="AM269" s="3945"/>
      <c r="AN269" s="3939"/>
      <c r="AO269" s="3945"/>
      <c r="AP269" s="3939"/>
      <c r="AQ269" s="4037"/>
      <c r="AR269" s="4034"/>
      <c r="AS269" s="3983"/>
      <c r="AT269" s="4030"/>
      <c r="AU269" s="4030" t="str">
        <f>IF(T269="","",T269)</f>
        <v/>
      </c>
      <c r="AV269" s="4030"/>
      <c r="AW269" s="4030"/>
      <c r="AX269" s="3916">
        <v>0</v>
      </c>
    </row>
    <row s="11263" customFormat="1" customHeight="1" ht="21">
      <c r="A270" s="4017"/>
      <c r="B270" s="4017"/>
      <c r="C270" s="4017"/>
      <c r="D270" s="4017"/>
      <c r="E270" s="4018"/>
      <c r="F270" s="4018"/>
      <c r="G270" s="4018"/>
      <c r="H270" s="4018"/>
      <c r="I270" s="4019"/>
      <c r="J270" s="4020" t="str">
        <f>I262&amp;".1"</f>
        <v>1.12.1.1.1</v>
      </c>
      <c r="K270" s="4017"/>
      <c r="L270" s="4021"/>
      <c r="M270" s="4022"/>
      <c r="N270" s="4022"/>
      <c r="O270" s="4022"/>
      <c r="P270" s="4023"/>
      <c r="Q270" s="4023"/>
      <c r="R270" s="4039"/>
      <c r="S270" s="5789"/>
      <c r="T270" s="5790" t="s">
        <v>611</v>
      </c>
      <c r="U270" s="5791"/>
      <c r="V270" s="5792"/>
      <c r="W270" s="5793"/>
      <c r="X270" s="5794"/>
      <c r="Y270" s="5795"/>
      <c r="Z270" s="5796"/>
      <c r="AA270" s="5797"/>
      <c r="AB270" s="5798"/>
      <c r="AC270" s="5799"/>
      <c r="AD270" s="5800"/>
      <c r="AE270" s="5801"/>
      <c r="AF270" s="5802"/>
      <c r="AG270" s="5803"/>
      <c r="AH270" s="5804"/>
      <c r="AI270" s="5805"/>
      <c r="AJ270" s="5806"/>
      <c r="AK270" s="5807"/>
      <c r="AL270" s="5808"/>
      <c r="AM270" s="5809"/>
      <c r="AN270" s="5810"/>
      <c r="AO270" s="5811"/>
      <c r="AP270" s="5812"/>
      <c r="AQ270" s="5813"/>
      <c r="AR270" s="4065" t="s">
        <v>612</v>
      </c>
      <c r="AS270" s="3983"/>
      <c r="AT270" s="4030"/>
      <c r="AU270" s="4030" t="str">
        <f>IF(T270="","",T270)</f>
        <v>Добавить значение признака дифференциации</v>
      </c>
      <c r="AV270" s="4030"/>
      <c r="AW270" s="4030"/>
      <c r="AX270" s="3916">
        <v>0</v>
      </c>
    </row>
    <row s="11289" customFormat="1" customHeight="1" ht="23.25">
      <c r="A271" s="4017"/>
      <c r="B271" s="4017"/>
      <c r="C271" s="4017"/>
      <c r="D271" s="4017"/>
      <c r="E271" s="4018"/>
      <c r="F271" s="4018"/>
      <c r="G271" s="4018"/>
      <c r="H271" s="4018"/>
      <c r="I271" s="4019"/>
      <c r="J271" s="4020" t="str">
        <f>I262&amp;".3"</f>
        <v>1.12.1.1.3</v>
      </c>
      <c r="K271" s="4017"/>
      <c r="L271" s="4021" t="s">
        <v>534</v>
      </c>
      <c r="M271" s="4022"/>
      <c r="N271" s="4022"/>
      <c r="O271" s="4022"/>
      <c r="P271" s="4023"/>
      <c r="Q271" s="4024" t="s">
        <v>105</v>
      </c>
      <c r="R271" s="4025"/>
      <c r="S271" s="4026" t="str">
        <f>$J271</f>
        <v>1.12.1.1.3</v>
      </c>
      <c r="T271" s="4027" t="s">
        <v>535</v>
      </c>
      <c r="U271" s="4028"/>
      <c r="V271" s="3932"/>
      <c r="W271" s="3933"/>
      <c r="X271" s="3933"/>
      <c r="Y271" s="3933"/>
      <c r="Z271" s="3933"/>
      <c r="AA271" s="3933"/>
      <c r="AB271" s="3934"/>
      <c r="AC271" s="3932" t="s">
        <v>623</v>
      </c>
      <c r="AD271" s="3933"/>
      <c r="AE271" s="3933"/>
      <c r="AF271" s="3933"/>
      <c r="AG271" s="3933"/>
      <c r="AH271" s="3933"/>
      <c r="AI271" s="3933"/>
      <c r="AJ271" s="3932"/>
      <c r="AK271" s="3933"/>
      <c r="AL271" s="3933"/>
      <c r="AM271" s="3933"/>
      <c r="AN271" s="3933"/>
      <c r="AO271" s="3933"/>
      <c r="AP271" s="3934"/>
      <c r="AQ271" s="3934"/>
      <c r="AR271" s="4029" t="s">
        <v>610</v>
      </c>
      <c r="AS271" s="3983"/>
      <c r="AT271" s="4030"/>
      <c r="AU271" s="4030" t="str">
        <f>IF(T271="","",T271)</f>
        <v>Группа потребителей</v>
      </c>
      <c r="AV271" s="4030"/>
      <c r="AW271" s="4030"/>
      <c r="AX271" s="3916">
        <v>0</v>
      </c>
    </row>
    <row s="11290" customFormat="1" customHeight="1" ht="23.25">
      <c r="A272" s="4017"/>
      <c r="B272" s="4017"/>
      <c r="C272" s="4017"/>
      <c r="D272" s="4017"/>
      <c r="E272" s="4018"/>
      <c r="F272" s="4018"/>
      <c r="G272" s="4018"/>
      <c r="H272" s="4018"/>
      <c r="I272" s="4019"/>
      <c r="J272" s="4019" t="str">
        <f>I262&amp;".2"</f>
        <v>1.12.1.1.2</v>
      </c>
      <c r="K272" s="4020" t="str">
        <f>J271&amp;".1"</f>
        <v>1.12.1.1.3.1</v>
      </c>
      <c r="L272" s="4021"/>
      <c r="M272" s="4022"/>
      <c r="N272" s="4022"/>
      <c r="O272" s="4022"/>
      <c r="P272" s="4023"/>
      <c r="Q272" s="4023"/>
      <c r="R272" s="4025">
        <v>1</v>
      </c>
      <c r="S272" s="4026" t="str">
        <f>$K272</f>
        <v>1.12.1.1.3.1</v>
      </c>
      <c r="T272" s="4032"/>
      <c r="U272" s="4028"/>
      <c r="V272" s="3936"/>
      <c r="W272" s="3936"/>
      <c r="X272" s="3937"/>
      <c r="Y272" s="3938"/>
      <c r="Z272" s="3939" t="s">
        <v>66</v>
      </c>
      <c r="AA272" s="3938"/>
      <c r="AB272" s="3939" t="s">
        <v>66</v>
      </c>
      <c r="AC272" s="3936">
        <v>45.28</v>
      </c>
      <c r="AD272" s="3936"/>
      <c r="AE272" s="3937"/>
      <c r="AF272" s="3938">
        <v>45658</v>
      </c>
      <c r="AG272" s="3939" t="s">
        <v>66</v>
      </c>
      <c r="AH272" s="4006">
        <v>45838</v>
      </c>
      <c r="AI272" s="3939" t="s">
        <v>66</v>
      </c>
      <c r="AJ272" s="3936">
        <v>59.92</v>
      </c>
      <c r="AK272" s="3936"/>
      <c r="AL272" s="3937"/>
      <c r="AM272" s="3938">
        <v>45839</v>
      </c>
      <c r="AN272" s="3939" t="s">
        <v>66</v>
      </c>
      <c r="AO272" s="3938">
        <v>46022</v>
      </c>
      <c r="AP272" s="3939" t="s">
        <v>66</v>
      </c>
      <c r="AQ272" s="4033"/>
      <c r="AR272" s="4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272" s="3983">
        <f>STRCHECKDATE(V273:AQ273)</f>
      </c>
      <c r="AT272" s="4030"/>
      <c r="AU272" s="4030" t="str">
        <f>IF(T272="","",T272)</f>
        <v/>
      </c>
      <c r="AV272" s="4030"/>
      <c r="AW272" s="4030"/>
      <c r="AX272" s="3916">
        <v>0</v>
      </c>
    </row>
    <row s="11291" customFormat="1" customHeight="1" ht="14.25">
      <c r="A273" s="4017"/>
      <c r="B273" s="4017"/>
      <c r="C273" s="4017"/>
      <c r="D273" s="4017"/>
      <c r="E273" s="4018"/>
      <c r="F273" s="4018"/>
      <c r="G273" s="4018"/>
      <c r="H273" s="4018"/>
      <c r="I273" s="4019"/>
      <c r="J273" s="4019" t="str">
        <f>I262&amp;".2"</f>
        <v>1.12.1.1.2</v>
      </c>
      <c r="K273" s="4020"/>
      <c r="L273" s="4021"/>
      <c r="M273" s="4022"/>
      <c r="N273" s="4022"/>
      <c r="O273" s="4022"/>
      <c r="P273" s="4023"/>
      <c r="Q273" s="4023"/>
      <c r="R273" s="4025"/>
      <c r="S273" s="4036"/>
      <c r="T273" s="4028"/>
      <c r="U273" s="4028"/>
      <c r="V273" s="3943"/>
      <c r="W273" s="3943"/>
      <c r="X273" s="3944" t="str">
        <f>Y272&amp;"-"&amp;AA272</f>
        <v>-</v>
      </c>
      <c r="Y273" s="3945"/>
      <c r="Z273" s="3939"/>
      <c r="AA273" s="3945"/>
      <c r="AB273" s="3939"/>
      <c r="AC273" s="3943"/>
      <c r="AD273" s="3943"/>
      <c r="AE273" s="3944" t="str">
        <f>AF272&amp;"-"&amp;AH272</f>
        <v>45658-45838</v>
      </c>
      <c r="AF273" s="3945"/>
      <c r="AG273" s="3939"/>
      <c r="AH273" s="4008"/>
      <c r="AI273" s="3939"/>
      <c r="AJ273" s="3943"/>
      <c r="AK273" s="3943"/>
      <c r="AL273" s="3944" t="str">
        <f>AM272&amp;"-"&amp;AO272</f>
        <v>45839-46022</v>
      </c>
      <c r="AM273" s="3945"/>
      <c r="AN273" s="3939"/>
      <c r="AO273" s="3945"/>
      <c r="AP273" s="3939"/>
      <c r="AQ273" s="4037"/>
      <c r="AR273" s="4034"/>
      <c r="AS273" s="3983"/>
      <c r="AT273" s="4030"/>
      <c r="AU273" s="4030" t="str">
        <f>IF(T273="","",T273)</f>
        <v/>
      </c>
      <c r="AV273" s="4030"/>
      <c r="AW273" s="4030"/>
      <c r="AX273" s="3916">
        <v>0</v>
      </c>
    </row>
    <row s="11292" customFormat="1" customHeight="1" ht="21">
      <c r="A274" s="4017"/>
      <c r="B274" s="4017"/>
      <c r="C274" s="4017"/>
      <c r="D274" s="4017"/>
      <c r="E274" s="4018"/>
      <c r="F274" s="4018"/>
      <c r="G274" s="4018"/>
      <c r="H274" s="4018"/>
      <c r="I274" s="4019"/>
      <c r="J274" s="4020" t="str">
        <f>I262&amp;".2"</f>
        <v>1.12.1.1.2</v>
      </c>
      <c r="K274" s="4017"/>
      <c r="L274" s="4021"/>
      <c r="M274" s="4022"/>
      <c r="N274" s="4022"/>
      <c r="O274" s="4022"/>
      <c r="P274" s="4023"/>
      <c r="Q274" s="4023"/>
      <c r="R274" s="4039"/>
      <c r="S274" s="5818"/>
      <c r="T274" s="5819" t="s">
        <v>611</v>
      </c>
      <c r="U274" s="5820"/>
      <c r="V274" s="5821"/>
      <c r="W274" s="5822"/>
      <c r="X274" s="5823"/>
      <c r="Y274" s="5824"/>
      <c r="Z274" s="5825"/>
      <c r="AA274" s="5826"/>
      <c r="AB274" s="5827"/>
      <c r="AC274" s="5828"/>
      <c r="AD274" s="5829"/>
      <c r="AE274" s="5830"/>
      <c r="AF274" s="5831"/>
      <c r="AG274" s="5832"/>
      <c r="AH274" s="5833"/>
      <c r="AI274" s="5834"/>
      <c r="AJ274" s="5835"/>
      <c r="AK274" s="5836"/>
      <c r="AL274" s="5837"/>
      <c r="AM274" s="5838"/>
      <c r="AN274" s="5839"/>
      <c r="AO274" s="5840"/>
      <c r="AP274" s="5841"/>
      <c r="AQ274" s="5842"/>
      <c r="AR274" s="4065" t="s">
        <v>612</v>
      </c>
      <c r="AS274" s="3983"/>
      <c r="AT274" s="4030"/>
      <c r="AU274" s="4030" t="str">
        <f>IF(T274="","",T274)</f>
        <v>Добавить значение признака дифференциации</v>
      </c>
      <c r="AV274" s="4030"/>
      <c r="AW274" s="4030"/>
      <c r="AX274" s="3916">
        <v>0</v>
      </c>
    </row>
    <row s="11318" customFormat="1" customHeight="1" ht="21">
      <c r="A275" s="4017"/>
      <c r="B275" s="4017"/>
      <c r="C275" s="4017"/>
      <c r="D275" s="4017"/>
      <c r="E275" s="4018"/>
      <c r="F275" s="4018" t="s">
        <v>146</v>
      </c>
      <c r="G275" s="4018"/>
      <c r="H275" s="4018"/>
      <c r="I275" s="4020"/>
      <c r="J275" s="4017"/>
      <c r="K275" s="4017"/>
      <c r="L275" s="4021"/>
      <c r="M275" s="4022"/>
      <c r="N275" s="4022"/>
      <c r="O275" s="4022"/>
      <c r="P275" s="4023"/>
      <c r="Q275" s="4023"/>
      <c r="R275" s="4039"/>
      <c r="S275" s="5844"/>
      <c r="T275" s="5845" t="s">
        <v>540</v>
      </c>
      <c r="U275" s="5846"/>
      <c r="V275" s="5847"/>
      <c r="W275" s="5848"/>
      <c r="X275" s="5849"/>
      <c r="Y275" s="5850"/>
      <c r="Z275" s="5851"/>
      <c r="AA275" s="5852"/>
      <c r="AB275" s="5853"/>
      <c r="AC275" s="5854"/>
      <c r="AD275" s="5855"/>
      <c r="AE275" s="5856"/>
      <c r="AF275" s="5857"/>
      <c r="AG275" s="5858"/>
      <c r="AH275" s="5859"/>
      <c r="AI275" s="5860"/>
      <c r="AJ275" s="5861"/>
      <c r="AK275" s="5862"/>
      <c r="AL275" s="5863"/>
      <c r="AM275" s="5864"/>
      <c r="AN275" s="5865"/>
      <c r="AO275" s="5866"/>
      <c r="AP275" s="5867"/>
      <c r="AQ275" s="5868"/>
      <c r="AR275" s="5869"/>
      <c r="AS275" s="3983"/>
      <c r="AT275" s="4030"/>
      <c r="AU275" s="4030" t="str">
        <f>IF(T275="","",T275)</f>
        <v>Добавить группу потребителей</v>
      </c>
      <c r="AV275" s="4030"/>
      <c r="AW275" s="4030"/>
      <c r="AX275" s="3916">
        <v>0</v>
      </c>
    </row>
    <row s="11345" customFormat="1" customHeight="1" ht="14.25">
      <c r="A276" s="4017"/>
      <c r="B276" s="4017"/>
      <c r="C276" s="4017"/>
      <c r="D276" s="4017"/>
      <c r="E276" s="4018"/>
      <c r="F276" s="4018" t="s">
        <v>146</v>
      </c>
      <c r="G276" s="4018"/>
      <c r="H276" s="4110"/>
      <c r="I276" s="4017"/>
      <c r="J276" s="4017"/>
      <c r="K276" s="4017"/>
      <c r="L276" s="4021"/>
      <c r="M276" s="4111"/>
      <c r="N276" s="4111"/>
      <c r="O276" s="3973"/>
      <c r="P276" s="4239"/>
      <c r="Q276" s="4240"/>
      <c r="R276" s="4241"/>
      <c r="S276" s="5871"/>
      <c r="T276" s="5872" t="s">
        <v>613</v>
      </c>
      <c r="U276" s="5873"/>
      <c r="V276" s="5874"/>
      <c r="W276" s="5875"/>
      <c r="X276" s="5876"/>
      <c r="Y276" s="5877"/>
      <c r="Z276" s="5878"/>
      <c r="AA276" s="5879"/>
      <c r="AB276" s="5880"/>
      <c r="AC276" s="5881"/>
      <c r="AD276" s="5882"/>
      <c r="AE276" s="5883"/>
      <c r="AF276" s="5884"/>
      <c r="AG276" s="5885"/>
      <c r="AH276" s="5886"/>
      <c r="AI276" s="5887"/>
      <c r="AJ276" s="5888"/>
      <c r="AK276" s="5889"/>
      <c r="AL276" s="5890"/>
      <c r="AM276" s="5891"/>
      <c r="AN276" s="5892"/>
      <c r="AO276" s="5893"/>
      <c r="AP276" s="5894"/>
      <c r="AQ276" s="5895"/>
      <c r="AR276" s="5896"/>
      <c r="AS276" s="3983"/>
      <c r="AT276" s="4030"/>
      <c r="AU276" s="4030" t="str">
        <f>IF(T276="","",T276)</f>
        <v>Добавить наименование признака дифференциации</v>
      </c>
      <c r="AV276" s="4030"/>
      <c r="AW276" s="4030"/>
      <c r="AX276" s="3916">
        <v>0</v>
      </c>
    </row>
    <row s="11372" customFormat="1" customHeight="1" ht="14.25">
      <c r="A277" s="4269"/>
      <c r="B277" s="4269"/>
      <c r="C277" s="4269"/>
      <c r="D277" s="4269"/>
      <c r="E277" s="4018"/>
      <c r="F277" s="4110" t="s">
        <v>146</v>
      </c>
      <c r="G277" s="4269"/>
      <c r="H277" s="4269"/>
      <c r="I277" s="4269"/>
      <c r="J277" s="4269"/>
      <c r="K277" s="4269"/>
      <c r="L277" s="4270"/>
      <c r="M277" s="4271"/>
      <c r="N277" s="4271"/>
      <c r="O277" s="3983"/>
      <c r="P277" s="4272"/>
      <c r="Q277" s="4273"/>
      <c r="R277" s="4272"/>
      <c r="S277" s="4274"/>
      <c r="T277" s="4275" t="s">
        <v>298</v>
      </c>
      <c r="U277" s="3971"/>
      <c r="V277" s="3971"/>
      <c r="W277" s="3971"/>
      <c r="X277" s="3971"/>
      <c r="Y277" s="3971"/>
      <c r="Z277" s="3971"/>
      <c r="AA277" s="3971"/>
      <c r="AB277" s="3971"/>
      <c r="AC277" s="3971"/>
      <c r="AD277" s="3971"/>
      <c r="AE277" s="3971"/>
      <c r="AF277" s="3971"/>
      <c r="AG277" s="3971"/>
      <c r="AH277" s="3971"/>
      <c r="AI277" s="3971"/>
      <c r="AJ277" s="3971"/>
      <c r="AK277" s="3971"/>
      <c r="AL277" s="3971"/>
      <c r="AM277" s="3971"/>
      <c r="AN277" s="3971"/>
      <c r="AO277" s="3971"/>
      <c r="AP277" s="3971"/>
      <c r="AQ277" s="3971"/>
      <c r="AR277" s="3971"/>
      <c r="AS277" s="3983"/>
      <c r="AT277" s="4030"/>
      <c r="AU277" s="4030" t="str">
        <f>IF(T277="","",T277)</f>
        <v>Добавить централизованную систему для дифференциации</v>
      </c>
      <c r="AV277" s="4030"/>
      <c r="AW277" s="4030"/>
      <c r="AX277" s="3983">
        <v>0</v>
      </c>
    </row>
    <row s="11373" customFormat="1" customHeight="1" ht="23.25">
      <c r="A278" s="4017"/>
      <c r="B278" s="4017" t="s">
        <v>336</v>
      </c>
      <c r="C278" s="4017"/>
      <c r="D278" s="4017"/>
      <c r="E278" s="4018"/>
      <c r="F278" s="4110" t="s">
        <v>156</v>
      </c>
      <c r="G278" s="4017"/>
      <c r="H278" s="4017"/>
      <c r="I278" s="4017"/>
      <c r="J278" s="4017"/>
      <c r="K278" s="4017"/>
      <c r="L278" s="4021"/>
      <c r="M278" s="4111"/>
      <c r="N278" s="4111"/>
      <c r="O278" s="4111"/>
      <c r="P278" s="4112"/>
      <c r="Q278" s="4113"/>
      <c r="R278" s="4114"/>
      <c r="S278" s="4026" t="str">
        <f>INDEX(PT_DIFFERENTIATION_NUM_TER,MATCH(B278,PT_DIFFERENTIATION_TER_ID,0))</f>
        <v>1.13</v>
      </c>
      <c r="T278" s="4115" t="s">
        <v>525</v>
      </c>
      <c r="U278" s="4028"/>
      <c r="V278" s="3918"/>
      <c r="W278" s="3919"/>
      <c r="X278" s="3919"/>
      <c r="Y278" s="3919"/>
      <c r="Z278" s="3919"/>
      <c r="AA278" s="3919"/>
      <c r="AB278" s="3920"/>
      <c r="AC278" s="3918" t="str">
        <f>INDEX(PT_DIFFERENTIATION_TER,MATCH(B278,PT_DIFFERENTIATION_TER_ID,0))</f>
        <v>Территория 13</v>
      </c>
      <c r="AD278" s="3919"/>
      <c r="AE278" s="3919"/>
      <c r="AF278" s="3919"/>
      <c r="AG278" s="3919"/>
      <c r="AH278" s="3919"/>
      <c r="AI278" s="3919"/>
      <c r="AJ278" s="3918"/>
      <c r="AK278" s="3919"/>
      <c r="AL278" s="3919"/>
      <c r="AM278" s="3919"/>
      <c r="AN278" s="3919"/>
      <c r="AO278" s="3919"/>
      <c r="AP278" s="3920"/>
      <c r="AQ278" s="3920"/>
      <c r="AR278" s="4065" t="s">
        <v>526</v>
      </c>
      <c r="AS278" s="3983"/>
      <c r="AT278" s="4030"/>
      <c r="AU278" s="4030" t="str">
        <f>IF(T278="","",T278)</f>
        <v>Территория действия тарифа</v>
      </c>
      <c r="AV278" s="4030"/>
      <c r="AW278" s="4030"/>
      <c r="AX278" s="3916">
        <v>0</v>
      </c>
    </row>
    <row s="11374" customFormat="1" customHeight="1" ht="23.25">
      <c r="A279" s="4017"/>
      <c r="B279" s="4017"/>
      <c r="C279" s="4017" t="s">
        <v>337</v>
      </c>
      <c r="D279" s="4017"/>
      <c r="E279" s="4018"/>
      <c r="F279" s="4018" t="s">
        <v>151</v>
      </c>
      <c r="G279" s="4110">
        <v>1</v>
      </c>
      <c r="H279" s="4017"/>
      <c r="I279" s="4017"/>
      <c r="J279" s="4017"/>
      <c r="K279" s="4017"/>
      <c r="L279" s="4021"/>
      <c r="M279" s="4111"/>
      <c r="N279" s="4111"/>
      <c r="O279" s="4111"/>
      <c r="P279" s="4117"/>
      <c r="Q279" s="4113"/>
      <c r="R279" s="4114"/>
      <c r="S279" s="4026" t="str">
        <f>INDEX(PT_DIFFERENTIATION_NUM_CS,MATCH(C279,PT_DIFFERENTIATION_CS_ID,0))</f>
        <v>1.13.1</v>
      </c>
      <c r="T279" s="4118" t="s">
        <v>606</v>
      </c>
      <c r="U279" s="4028"/>
      <c r="V279" s="3918"/>
      <c r="W279" s="3919"/>
      <c r="X279" s="3919"/>
      <c r="Y279" s="3919"/>
      <c r="Z279" s="3919"/>
      <c r="AA279" s="3919"/>
      <c r="AB279" s="3920"/>
      <c r="AC279" s="3918" t="str">
        <f>INDEX(PT_DIFFERENTIATION_CS,MATCH(C279,PT_DIFFERENTIATION_CS_ID,0))</f>
        <v>без дифференциации</v>
      </c>
      <c r="AD279" s="3919"/>
      <c r="AE279" s="3919"/>
      <c r="AF279" s="3919"/>
      <c r="AG279" s="3919"/>
      <c r="AH279" s="3919"/>
      <c r="AI279" s="3919"/>
      <c r="AJ279" s="3918"/>
      <c r="AK279" s="3919"/>
      <c r="AL279" s="3919"/>
      <c r="AM279" s="3919"/>
      <c r="AN279" s="3919"/>
      <c r="AO279" s="3919"/>
      <c r="AP279" s="3920"/>
      <c r="AQ279" s="3920"/>
      <c r="AR279" s="4065" t="s">
        <v>607</v>
      </c>
      <c r="AS279" s="3983"/>
      <c r="AT279" s="4030"/>
      <c r="AU279" s="4030" t="str">
        <f>IF(T279="","",T279)</f>
        <v>Наименование централизованной системы холодного водоснабжения</v>
      </c>
      <c r="AV279" s="4030"/>
      <c r="AW279" s="4030"/>
      <c r="AX279" s="3916">
        <v>0</v>
      </c>
    </row>
    <row s="11375" customFormat="1" customHeight="1" ht="23.25">
      <c r="A280" s="4017"/>
      <c r="B280" s="4017"/>
      <c r="C280" s="4017"/>
      <c r="D280" s="4017"/>
      <c r="E280" s="4018"/>
      <c r="F280" s="4018" t="s">
        <v>151</v>
      </c>
      <c r="G280" s="4018"/>
      <c r="H280" s="4018"/>
      <c r="I280" s="4020" t="str">
        <f>S279&amp;".1"</f>
        <v>1.13.1.1</v>
      </c>
      <c r="J280" s="4017"/>
      <c r="K280" s="4017"/>
      <c r="L280" s="4021"/>
      <c r="M280" s="4022"/>
      <c r="N280" s="4022"/>
      <c r="O280" s="4022"/>
      <c r="P280" s="4023">
        <v>1</v>
      </c>
      <c r="Q280" s="4023"/>
      <c r="R280" s="4039"/>
      <c r="S280" s="4026" t="str">
        <f>$I280</f>
        <v>1.13.1.1</v>
      </c>
      <c r="T280" s="4120" t="s">
        <v>608</v>
      </c>
      <c r="U280" s="4028"/>
      <c r="V280" s="3928"/>
      <c r="W280" s="3929"/>
      <c r="X280" s="3929"/>
      <c r="Y280" s="3929"/>
      <c r="Z280" s="3929"/>
      <c r="AA280" s="3929"/>
      <c r="AB280" s="3930"/>
      <c r="AC280" s="4121"/>
      <c r="AD280" s="4122"/>
      <c r="AE280" s="4122"/>
      <c r="AF280" s="4122"/>
      <c r="AG280" s="4122"/>
      <c r="AH280" s="4122"/>
      <c r="AI280" s="4122"/>
      <c r="AJ280" s="3928"/>
      <c r="AK280" s="3929"/>
      <c r="AL280" s="3929"/>
      <c r="AM280" s="3929"/>
      <c r="AN280" s="3929"/>
      <c r="AO280" s="3929"/>
      <c r="AP280" s="3930"/>
      <c r="AQ280" s="4123"/>
      <c r="AR280" s="4065" t="s">
        <v>609</v>
      </c>
      <c r="AS280" s="3983"/>
      <c r="AT280" s="4030"/>
      <c r="AU280" s="4030" t="str">
        <f>IF(T280="","",T280)</f>
        <v>Наименование признака дифференциации</v>
      </c>
      <c r="AV280" s="4030"/>
      <c r="AW280" s="4030"/>
      <c r="AX280" s="3916">
        <v>0</v>
      </c>
    </row>
    <row s="11376" customFormat="1" customHeight="1" ht="23.25">
      <c r="A281" s="4017"/>
      <c r="B281" s="4017"/>
      <c r="C281" s="4017"/>
      <c r="D281" s="4017"/>
      <c r="E281" s="4018"/>
      <c r="F281" s="4018" t="s">
        <v>151</v>
      </c>
      <c r="G281" s="4018"/>
      <c r="H281" s="4018"/>
      <c r="I281" s="4019"/>
      <c r="J281" s="4020" t="str">
        <f>I280&amp;".1"</f>
        <v>1.13.1.1.1</v>
      </c>
      <c r="K281" s="4017"/>
      <c r="L281" s="4021" t="s">
        <v>534</v>
      </c>
      <c r="M281" s="4022"/>
      <c r="N281" s="4022"/>
      <c r="O281" s="4022"/>
      <c r="P281" s="4023"/>
      <c r="Q281" s="4023">
        <v>1</v>
      </c>
      <c r="R281" s="4025"/>
      <c r="S281" s="4026" t="str">
        <f>$J281</f>
        <v>1.13.1.1.1</v>
      </c>
      <c r="T281" s="4027" t="s">
        <v>535</v>
      </c>
      <c r="U281" s="4028"/>
      <c r="V281" s="3932"/>
      <c r="W281" s="3933"/>
      <c r="X281" s="3933"/>
      <c r="Y281" s="3933"/>
      <c r="Z281" s="3933"/>
      <c r="AA281" s="3933"/>
      <c r="AB281" s="3934"/>
      <c r="AC281" s="3932" t="s">
        <v>621</v>
      </c>
      <c r="AD281" s="3933"/>
      <c r="AE281" s="3933"/>
      <c r="AF281" s="3933"/>
      <c r="AG281" s="3933"/>
      <c r="AH281" s="3933"/>
      <c r="AI281" s="3933"/>
      <c r="AJ281" s="3932"/>
      <c r="AK281" s="3933"/>
      <c r="AL281" s="3933"/>
      <c r="AM281" s="3933"/>
      <c r="AN281" s="3933"/>
      <c r="AO281" s="3933"/>
      <c r="AP281" s="3934"/>
      <c r="AQ281" s="3934"/>
      <c r="AR281" s="4029" t="s">
        <v>610</v>
      </c>
      <c r="AS281" s="3983"/>
      <c r="AT281" s="4030"/>
      <c r="AU281" s="4030" t="str">
        <f>IF(T281="","",T281)</f>
        <v>Группа потребителей</v>
      </c>
      <c r="AV281" s="4030"/>
      <c r="AW281" s="4030"/>
      <c r="AX281" s="3916">
        <v>0</v>
      </c>
    </row>
    <row s="11377" customFormat="1" customHeight="1" ht="23.25">
      <c r="A282" s="4017"/>
      <c r="B282" s="4017"/>
      <c r="C282" s="4017"/>
      <c r="D282" s="4017"/>
      <c r="E282" s="4018"/>
      <c r="F282" s="4018" t="s">
        <v>151</v>
      </c>
      <c r="G282" s="4018"/>
      <c r="H282" s="4018"/>
      <c r="I282" s="4019"/>
      <c r="J282" s="4019"/>
      <c r="K282" s="4020" t="str">
        <f>J281&amp;".1"</f>
        <v>1.13.1.1.1.1</v>
      </c>
      <c r="L282" s="4021"/>
      <c r="M282" s="4022"/>
      <c r="N282" s="4022"/>
      <c r="O282" s="4022"/>
      <c r="P282" s="4023"/>
      <c r="Q282" s="4023"/>
      <c r="R282" s="4025">
        <v>1</v>
      </c>
      <c r="S282" s="4026" t="str">
        <f>$K282</f>
        <v>1.13.1.1.1.1</v>
      </c>
      <c r="T282" s="4032"/>
      <c r="U282" s="4028"/>
      <c r="V282" s="3936"/>
      <c r="W282" s="3936"/>
      <c r="X282" s="3937"/>
      <c r="Y282" s="3938"/>
      <c r="Z282" s="3939" t="s">
        <v>66</v>
      </c>
      <c r="AA282" s="3938"/>
      <c r="AB282" s="3939" t="s">
        <v>66</v>
      </c>
      <c r="AC282" s="3936">
        <v>57.42</v>
      </c>
      <c r="AD282" s="3936"/>
      <c r="AE282" s="3937"/>
      <c r="AF282" s="3938">
        <v>45658</v>
      </c>
      <c r="AG282" s="3939" t="s">
        <v>66</v>
      </c>
      <c r="AH282" s="4006">
        <v>45838</v>
      </c>
      <c r="AI282" s="3939" t="s">
        <v>66</v>
      </c>
      <c r="AJ282" s="3936">
        <v>62.02</v>
      </c>
      <c r="AK282" s="3936"/>
      <c r="AL282" s="3937"/>
      <c r="AM282" s="3938">
        <v>45839</v>
      </c>
      <c r="AN282" s="3939" t="s">
        <v>66</v>
      </c>
      <c r="AO282" s="3938">
        <v>46022</v>
      </c>
      <c r="AP282" s="3939" t="s">
        <v>66</v>
      </c>
      <c r="AQ282" s="4033"/>
      <c r="AR282" s="4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282" s="3983">
        <f>STRCHECKDATE(V283:AQ283)</f>
      </c>
      <c r="AT282" s="4030"/>
      <c r="AU282" s="4030" t="str">
        <f>IF(T282="","",T282)</f>
        <v/>
      </c>
      <c r="AV282" s="4030"/>
      <c r="AW282" s="4030"/>
      <c r="AX282" s="3916">
        <v>0</v>
      </c>
    </row>
    <row s="11378" customFormat="1" customHeight="1" ht="14.25">
      <c r="A283" s="4017"/>
      <c r="B283" s="4017"/>
      <c r="C283" s="4017"/>
      <c r="D283" s="4017"/>
      <c r="E283" s="4018"/>
      <c r="F283" s="4018" t="s">
        <v>151</v>
      </c>
      <c r="G283" s="4018"/>
      <c r="H283" s="4018"/>
      <c r="I283" s="4019"/>
      <c r="J283" s="4019"/>
      <c r="K283" s="4020"/>
      <c r="L283" s="4021"/>
      <c r="M283" s="4022"/>
      <c r="N283" s="4022"/>
      <c r="O283" s="4022"/>
      <c r="P283" s="4023"/>
      <c r="Q283" s="4023"/>
      <c r="R283" s="4025"/>
      <c r="S283" s="4036"/>
      <c r="T283" s="4028"/>
      <c r="U283" s="4028"/>
      <c r="V283" s="3943"/>
      <c r="W283" s="3943"/>
      <c r="X283" s="3944" t="str">
        <f>Y282&amp;"-"&amp;AA282</f>
        <v>-</v>
      </c>
      <c r="Y283" s="3945"/>
      <c r="Z283" s="3939"/>
      <c r="AA283" s="3945"/>
      <c r="AB283" s="3939"/>
      <c r="AC283" s="3943"/>
      <c r="AD283" s="3943"/>
      <c r="AE283" s="3944" t="str">
        <f>AF282&amp;"-"&amp;AH282</f>
        <v>45658-45838</v>
      </c>
      <c r="AF283" s="3945"/>
      <c r="AG283" s="3939"/>
      <c r="AH283" s="4008"/>
      <c r="AI283" s="3939"/>
      <c r="AJ283" s="3943"/>
      <c r="AK283" s="3943"/>
      <c r="AL283" s="3944" t="str">
        <f>AM282&amp;"-"&amp;AO282</f>
        <v>45839-46022</v>
      </c>
      <c r="AM283" s="3945"/>
      <c r="AN283" s="3939"/>
      <c r="AO283" s="3945"/>
      <c r="AP283" s="3939"/>
      <c r="AQ283" s="4037"/>
      <c r="AR283" s="4034"/>
      <c r="AS283" s="3983"/>
      <c r="AT283" s="4030"/>
      <c r="AU283" s="4030" t="str">
        <f>IF(T283="","",T283)</f>
        <v/>
      </c>
      <c r="AV283" s="4030"/>
      <c r="AW283" s="4030"/>
      <c r="AX283" s="3916">
        <v>0</v>
      </c>
    </row>
    <row s="11379" customFormat="1" customHeight="1" ht="21">
      <c r="A284" s="4017"/>
      <c r="B284" s="4017"/>
      <c r="C284" s="4017"/>
      <c r="D284" s="4017"/>
      <c r="E284" s="4018"/>
      <c r="F284" s="4018" t="s">
        <v>151</v>
      </c>
      <c r="G284" s="4018"/>
      <c r="H284" s="4018"/>
      <c r="I284" s="4019"/>
      <c r="J284" s="4020"/>
      <c r="K284" s="4017"/>
      <c r="L284" s="4021"/>
      <c r="M284" s="4022"/>
      <c r="N284" s="4022"/>
      <c r="O284" s="4022"/>
      <c r="P284" s="4023"/>
      <c r="Q284" s="4023"/>
      <c r="R284" s="4039"/>
      <c r="S284" s="5905"/>
      <c r="T284" s="5906" t="s">
        <v>611</v>
      </c>
      <c r="U284" s="5907"/>
      <c r="V284" s="5908"/>
      <c r="W284" s="5909"/>
      <c r="X284" s="5910"/>
      <c r="Y284" s="5911"/>
      <c r="Z284" s="5912"/>
      <c r="AA284" s="5913"/>
      <c r="AB284" s="5914"/>
      <c r="AC284" s="5915"/>
      <c r="AD284" s="5916"/>
      <c r="AE284" s="5917"/>
      <c r="AF284" s="5918"/>
      <c r="AG284" s="5919"/>
      <c r="AH284" s="5920"/>
      <c r="AI284" s="5921"/>
      <c r="AJ284" s="5922"/>
      <c r="AK284" s="5923"/>
      <c r="AL284" s="5924"/>
      <c r="AM284" s="5925"/>
      <c r="AN284" s="5926"/>
      <c r="AO284" s="5927"/>
      <c r="AP284" s="5928"/>
      <c r="AQ284" s="5929"/>
      <c r="AR284" s="4065" t="s">
        <v>612</v>
      </c>
      <c r="AS284" s="3983"/>
      <c r="AT284" s="4030"/>
      <c r="AU284" s="4030" t="str">
        <f>IF(T284="","",T284)</f>
        <v>Добавить значение признака дифференциации</v>
      </c>
      <c r="AV284" s="4030"/>
      <c r="AW284" s="4030"/>
      <c r="AX284" s="3916">
        <v>0</v>
      </c>
    </row>
    <row s="11405" customFormat="1" customHeight="1" ht="23.25">
      <c r="A285" s="4017"/>
      <c r="B285" s="4017"/>
      <c r="C285" s="4017"/>
      <c r="D285" s="4017"/>
      <c r="E285" s="4018"/>
      <c r="F285" s="4018"/>
      <c r="G285" s="4018"/>
      <c r="H285" s="4018"/>
      <c r="I285" s="4019"/>
      <c r="J285" s="4020" t="str">
        <f>I280&amp;".2"</f>
        <v>1.13.1.1.2</v>
      </c>
      <c r="K285" s="4017"/>
      <c r="L285" s="4021" t="s">
        <v>534</v>
      </c>
      <c r="M285" s="4022"/>
      <c r="N285" s="4022"/>
      <c r="O285" s="4022"/>
      <c r="P285" s="4023"/>
      <c r="Q285" s="4024" t="s">
        <v>105</v>
      </c>
      <c r="R285" s="4025"/>
      <c r="S285" s="4026" t="str">
        <f>$J285</f>
        <v>1.13.1.1.2</v>
      </c>
      <c r="T285" s="4027" t="s">
        <v>535</v>
      </c>
      <c r="U285" s="4028"/>
      <c r="V285" s="3932"/>
      <c r="W285" s="3933"/>
      <c r="X285" s="3933"/>
      <c r="Y285" s="3933"/>
      <c r="Z285" s="3933"/>
      <c r="AA285" s="3933"/>
      <c r="AB285" s="3934"/>
      <c r="AC285" s="3932" t="s">
        <v>622</v>
      </c>
      <c r="AD285" s="3933"/>
      <c r="AE285" s="3933"/>
      <c r="AF285" s="3933"/>
      <c r="AG285" s="3933"/>
      <c r="AH285" s="3933"/>
      <c r="AI285" s="3933"/>
      <c r="AJ285" s="3932"/>
      <c r="AK285" s="3933"/>
      <c r="AL285" s="3933"/>
      <c r="AM285" s="3933"/>
      <c r="AN285" s="3933"/>
      <c r="AO285" s="3933"/>
      <c r="AP285" s="3934"/>
      <c r="AQ285" s="3934"/>
      <c r="AR285" s="4029" t="s">
        <v>610</v>
      </c>
      <c r="AS285" s="3983"/>
      <c r="AT285" s="4030"/>
      <c r="AU285" s="4030" t="str">
        <f>IF(T285="","",T285)</f>
        <v>Группа потребителей</v>
      </c>
      <c r="AV285" s="4030"/>
      <c r="AW285" s="4030"/>
      <c r="AX285" s="3916">
        <v>0</v>
      </c>
    </row>
    <row s="11406" customFormat="1" customHeight="1" ht="23.25">
      <c r="A286" s="4017"/>
      <c r="B286" s="4017"/>
      <c r="C286" s="4017"/>
      <c r="D286" s="4017"/>
      <c r="E286" s="4018"/>
      <c r="F286" s="4018"/>
      <c r="G286" s="4018"/>
      <c r="H286" s="4018"/>
      <c r="I286" s="4019"/>
      <c r="J286" s="4019" t="str">
        <f>I280&amp;".1"</f>
        <v>1.13.1.1.1</v>
      </c>
      <c r="K286" s="4020" t="str">
        <f>J285&amp;".1"</f>
        <v>1.13.1.1.2.1</v>
      </c>
      <c r="L286" s="4021"/>
      <c r="M286" s="4022"/>
      <c r="N286" s="4022"/>
      <c r="O286" s="4022"/>
      <c r="P286" s="4023"/>
      <c r="Q286" s="4023"/>
      <c r="R286" s="4025">
        <v>1</v>
      </c>
      <c r="S286" s="4026" t="str">
        <f>$K286</f>
        <v>1.13.1.1.2.1</v>
      </c>
      <c r="T286" s="4032"/>
      <c r="U286" s="4028"/>
      <c r="V286" s="3936"/>
      <c r="W286" s="3936"/>
      <c r="X286" s="3937"/>
      <c r="Y286" s="3938"/>
      <c r="Z286" s="3939" t="s">
        <v>66</v>
      </c>
      <c r="AA286" s="3938"/>
      <c r="AB286" s="3939" t="s">
        <v>66</v>
      </c>
      <c r="AC286" s="3936">
        <v>54.69</v>
      </c>
      <c r="AD286" s="3936"/>
      <c r="AE286" s="3937"/>
      <c r="AF286" s="3938">
        <v>45658</v>
      </c>
      <c r="AG286" s="3939" t="s">
        <v>66</v>
      </c>
      <c r="AH286" s="4006">
        <v>45838</v>
      </c>
      <c r="AI286" s="3939" t="s">
        <v>66</v>
      </c>
      <c r="AJ286" s="3936">
        <v>102.47</v>
      </c>
      <c r="AK286" s="3936"/>
      <c r="AL286" s="3937"/>
      <c r="AM286" s="3938">
        <v>45839</v>
      </c>
      <c r="AN286" s="3939" t="s">
        <v>66</v>
      </c>
      <c r="AO286" s="3938">
        <v>46022</v>
      </c>
      <c r="AP286" s="3939" t="s">
        <v>66</v>
      </c>
      <c r="AQ286" s="4033"/>
      <c r="AR286" s="4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286" s="3983">
        <f>STRCHECKDATE(V287:AQ287)</f>
      </c>
      <c r="AT286" s="4030"/>
      <c r="AU286" s="4030" t="str">
        <f>IF(T286="","",T286)</f>
        <v/>
      </c>
      <c r="AV286" s="4030"/>
      <c r="AW286" s="4030"/>
      <c r="AX286" s="3916">
        <v>0</v>
      </c>
    </row>
    <row s="11407" customFormat="1" customHeight="1" ht="14.25">
      <c r="A287" s="4017"/>
      <c r="B287" s="4017"/>
      <c r="C287" s="4017"/>
      <c r="D287" s="4017"/>
      <c r="E287" s="4018"/>
      <c r="F287" s="4018"/>
      <c r="G287" s="4018"/>
      <c r="H287" s="4018"/>
      <c r="I287" s="4019"/>
      <c r="J287" s="4019" t="str">
        <f>I280&amp;".1"</f>
        <v>1.13.1.1.1</v>
      </c>
      <c r="K287" s="4020"/>
      <c r="L287" s="4021"/>
      <c r="M287" s="4022"/>
      <c r="N287" s="4022"/>
      <c r="O287" s="4022"/>
      <c r="P287" s="4023"/>
      <c r="Q287" s="4023"/>
      <c r="R287" s="4025"/>
      <c r="S287" s="4036"/>
      <c r="T287" s="4028"/>
      <c r="U287" s="4028"/>
      <c r="V287" s="3943"/>
      <c r="W287" s="3943"/>
      <c r="X287" s="3944" t="str">
        <f>Y286&amp;"-"&amp;AA286</f>
        <v>-</v>
      </c>
      <c r="Y287" s="3945"/>
      <c r="Z287" s="3939"/>
      <c r="AA287" s="3945"/>
      <c r="AB287" s="3939"/>
      <c r="AC287" s="3943"/>
      <c r="AD287" s="3943"/>
      <c r="AE287" s="3944" t="str">
        <f>AF286&amp;"-"&amp;AH286</f>
        <v>45658-45838</v>
      </c>
      <c r="AF287" s="3945"/>
      <c r="AG287" s="3939"/>
      <c r="AH287" s="4008"/>
      <c r="AI287" s="3939"/>
      <c r="AJ287" s="3943"/>
      <c r="AK287" s="3943"/>
      <c r="AL287" s="3944" t="str">
        <f>AM286&amp;"-"&amp;AO286</f>
        <v>45839-46022</v>
      </c>
      <c r="AM287" s="3945"/>
      <c r="AN287" s="3939"/>
      <c r="AO287" s="3945"/>
      <c r="AP287" s="3939"/>
      <c r="AQ287" s="4037"/>
      <c r="AR287" s="4034"/>
      <c r="AS287" s="3983"/>
      <c r="AT287" s="4030"/>
      <c r="AU287" s="4030" t="str">
        <f>IF(T287="","",T287)</f>
        <v/>
      </c>
      <c r="AV287" s="4030"/>
      <c r="AW287" s="4030"/>
      <c r="AX287" s="3916">
        <v>0</v>
      </c>
    </row>
    <row s="11408" customFormat="1" customHeight="1" ht="21">
      <c r="A288" s="4017"/>
      <c r="B288" s="4017"/>
      <c r="C288" s="4017"/>
      <c r="D288" s="4017"/>
      <c r="E288" s="4018"/>
      <c r="F288" s="4018"/>
      <c r="G288" s="4018"/>
      <c r="H288" s="4018"/>
      <c r="I288" s="4019"/>
      <c r="J288" s="4020" t="str">
        <f>I280&amp;".1"</f>
        <v>1.13.1.1.1</v>
      </c>
      <c r="K288" s="4017"/>
      <c r="L288" s="4021"/>
      <c r="M288" s="4022"/>
      <c r="N288" s="4022"/>
      <c r="O288" s="4022"/>
      <c r="P288" s="4023"/>
      <c r="Q288" s="4023"/>
      <c r="R288" s="4039"/>
      <c r="S288" s="5934"/>
      <c r="T288" s="5935" t="s">
        <v>611</v>
      </c>
      <c r="U288" s="5936"/>
      <c r="V288" s="5937"/>
      <c r="W288" s="5938"/>
      <c r="X288" s="5939"/>
      <c r="Y288" s="5940"/>
      <c r="Z288" s="5941"/>
      <c r="AA288" s="5942"/>
      <c r="AB288" s="5943"/>
      <c r="AC288" s="5944"/>
      <c r="AD288" s="5945"/>
      <c r="AE288" s="5946"/>
      <c r="AF288" s="5947"/>
      <c r="AG288" s="5948"/>
      <c r="AH288" s="5949"/>
      <c r="AI288" s="5950"/>
      <c r="AJ288" s="5951"/>
      <c r="AK288" s="5952"/>
      <c r="AL288" s="5953"/>
      <c r="AM288" s="5954"/>
      <c r="AN288" s="5955"/>
      <c r="AO288" s="5956"/>
      <c r="AP288" s="5957"/>
      <c r="AQ288" s="5958"/>
      <c r="AR288" s="4065" t="s">
        <v>612</v>
      </c>
      <c r="AS288" s="3983"/>
      <c r="AT288" s="4030"/>
      <c r="AU288" s="4030" t="str">
        <f>IF(T288="","",T288)</f>
        <v>Добавить значение признака дифференциации</v>
      </c>
      <c r="AV288" s="4030"/>
      <c r="AW288" s="4030"/>
      <c r="AX288" s="3916">
        <v>0</v>
      </c>
    </row>
    <row s="11434" customFormat="1" customHeight="1" ht="23.25">
      <c r="A289" s="4017"/>
      <c r="B289" s="4017"/>
      <c r="C289" s="4017"/>
      <c r="D289" s="4017"/>
      <c r="E289" s="4018"/>
      <c r="F289" s="4018"/>
      <c r="G289" s="4018"/>
      <c r="H289" s="4018"/>
      <c r="I289" s="4019"/>
      <c r="J289" s="4020" t="str">
        <f>I280&amp;".3"</f>
        <v>1.13.1.1.3</v>
      </c>
      <c r="K289" s="4017"/>
      <c r="L289" s="4021" t="s">
        <v>534</v>
      </c>
      <c r="M289" s="4022"/>
      <c r="N289" s="4022"/>
      <c r="O289" s="4022"/>
      <c r="P289" s="4023"/>
      <c r="Q289" s="4024" t="s">
        <v>105</v>
      </c>
      <c r="R289" s="4025"/>
      <c r="S289" s="4026" t="str">
        <f>$J289</f>
        <v>1.13.1.1.3</v>
      </c>
      <c r="T289" s="4027" t="s">
        <v>535</v>
      </c>
      <c r="U289" s="4028"/>
      <c r="V289" s="3932"/>
      <c r="W289" s="3933"/>
      <c r="X289" s="3933"/>
      <c r="Y289" s="3933"/>
      <c r="Z289" s="3933"/>
      <c r="AA289" s="3933"/>
      <c r="AB289" s="3934"/>
      <c r="AC289" s="3932" t="s">
        <v>623</v>
      </c>
      <c r="AD289" s="3933"/>
      <c r="AE289" s="3933"/>
      <c r="AF289" s="3933"/>
      <c r="AG289" s="3933"/>
      <c r="AH289" s="3933"/>
      <c r="AI289" s="3933"/>
      <c r="AJ289" s="3932"/>
      <c r="AK289" s="3933"/>
      <c r="AL289" s="3933"/>
      <c r="AM289" s="3933"/>
      <c r="AN289" s="3933"/>
      <c r="AO289" s="3933"/>
      <c r="AP289" s="3934"/>
      <c r="AQ289" s="3934"/>
      <c r="AR289" s="4029" t="s">
        <v>610</v>
      </c>
      <c r="AS289" s="3983"/>
      <c r="AT289" s="4030"/>
      <c r="AU289" s="4030" t="str">
        <f>IF(T289="","",T289)</f>
        <v>Группа потребителей</v>
      </c>
      <c r="AV289" s="4030"/>
      <c r="AW289" s="4030"/>
      <c r="AX289" s="3916">
        <v>0</v>
      </c>
    </row>
    <row s="11435" customFormat="1" customHeight="1" ht="23.25">
      <c r="A290" s="4017"/>
      <c r="B290" s="4017"/>
      <c r="C290" s="4017"/>
      <c r="D290" s="4017"/>
      <c r="E290" s="4018"/>
      <c r="F290" s="4018"/>
      <c r="G290" s="4018"/>
      <c r="H290" s="4018"/>
      <c r="I290" s="4019"/>
      <c r="J290" s="4019" t="str">
        <f>I280&amp;".2"</f>
        <v>1.13.1.1.2</v>
      </c>
      <c r="K290" s="4020" t="str">
        <f>J289&amp;".1"</f>
        <v>1.13.1.1.3.1</v>
      </c>
      <c r="L290" s="4021"/>
      <c r="M290" s="4022"/>
      <c r="N290" s="4022"/>
      <c r="O290" s="4022"/>
      <c r="P290" s="4023"/>
      <c r="Q290" s="4023"/>
      <c r="R290" s="4025">
        <v>1</v>
      </c>
      <c r="S290" s="4026" t="str">
        <f>$K290</f>
        <v>1.13.1.1.3.1</v>
      </c>
      <c r="T290" s="4032"/>
      <c r="U290" s="4028"/>
      <c r="V290" s="3936"/>
      <c r="W290" s="3936"/>
      <c r="X290" s="3937"/>
      <c r="Y290" s="3938"/>
      <c r="Z290" s="3939" t="s">
        <v>66</v>
      </c>
      <c r="AA290" s="3938"/>
      <c r="AB290" s="3939" t="s">
        <v>66</v>
      </c>
      <c r="AC290" s="3936">
        <v>54.69</v>
      </c>
      <c r="AD290" s="3936"/>
      <c r="AE290" s="3937"/>
      <c r="AF290" s="3938">
        <v>45658</v>
      </c>
      <c r="AG290" s="3939" t="s">
        <v>66</v>
      </c>
      <c r="AH290" s="4006">
        <v>45838</v>
      </c>
      <c r="AI290" s="3939" t="s">
        <v>66</v>
      </c>
      <c r="AJ290" s="3936">
        <v>102.47</v>
      </c>
      <c r="AK290" s="3936"/>
      <c r="AL290" s="3937"/>
      <c r="AM290" s="3938">
        <v>45839</v>
      </c>
      <c r="AN290" s="3939" t="s">
        <v>66</v>
      </c>
      <c r="AO290" s="3938">
        <v>46022</v>
      </c>
      <c r="AP290" s="3939" t="s">
        <v>66</v>
      </c>
      <c r="AQ290" s="4033"/>
      <c r="AR290" s="4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290" s="3983">
        <f>STRCHECKDATE(V291:AQ291)</f>
      </c>
      <c r="AT290" s="4030"/>
      <c r="AU290" s="4030" t="str">
        <f>IF(T290="","",T290)</f>
        <v/>
      </c>
      <c r="AV290" s="4030"/>
      <c r="AW290" s="4030"/>
      <c r="AX290" s="3916">
        <v>0</v>
      </c>
    </row>
    <row s="11436" customFormat="1" customHeight="1" ht="14.25">
      <c r="A291" s="4017"/>
      <c r="B291" s="4017"/>
      <c r="C291" s="4017"/>
      <c r="D291" s="4017"/>
      <c r="E291" s="4018"/>
      <c r="F291" s="4018"/>
      <c r="G291" s="4018"/>
      <c r="H291" s="4018"/>
      <c r="I291" s="4019"/>
      <c r="J291" s="4019" t="str">
        <f>I280&amp;".2"</f>
        <v>1.13.1.1.2</v>
      </c>
      <c r="K291" s="4020"/>
      <c r="L291" s="4021"/>
      <c r="M291" s="4022"/>
      <c r="N291" s="4022"/>
      <c r="O291" s="4022"/>
      <c r="P291" s="4023"/>
      <c r="Q291" s="4023"/>
      <c r="R291" s="4025"/>
      <c r="S291" s="4036"/>
      <c r="T291" s="4028"/>
      <c r="U291" s="4028"/>
      <c r="V291" s="3943"/>
      <c r="W291" s="3943"/>
      <c r="X291" s="3944" t="str">
        <f>Y290&amp;"-"&amp;AA290</f>
        <v>-</v>
      </c>
      <c r="Y291" s="3945"/>
      <c r="Z291" s="3939"/>
      <c r="AA291" s="3945"/>
      <c r="AB291" s="3939"/>
      <c r="AC291" s="3943"/>
      <c r="AD291" s="3943"/>
      <c r="AE291" s="3944" t="str">
        <f>AF290&amp;"-"&amp;AH290</f>
        <v>45658-45838</v>
      </c>
      <c r="AF291" s="3945"/>
      <c r="AG291" s="3939"/>
      <c r="AH291" s="4008"/>
      <c r="AI291" s="3939"/>
      <c r="AJ291" s="3943"/>
      <c r="AK291" s="3943"/>
      <c r="AL291" s="3944" t="str">
        <f>AM290&amp;"-"&amp;AO290</f>
        <v>45839-46022</v>
      </c>
      <c r="AM291" s="3945"/>
      <c r="AN291" s="3939"/>
      <c r="AO291" s="3945"/>
      <c r="AP291" s="3939"/>
      <c r="AQ291" s="4037"/>
      <c r="AR291" s="4034"/>
      <c r="AS291" s="3983"/>
      <c r="AT291" s="4030"/>
      <c r="AU291" s="4030" t="str">
        <f>IF(T291="","",T291)</f>
        <v/>
      </c>
      <c r="AV291" s="4030"/>
      <c r="AW291" s="4030"/>
      <c r="AX291" s="3916">
        <v>0</v>
      </c>
    </row>
    <row s="11437" customFormat="1" customHeight="1" ht="21">
      <c r="A292" s="4017"/>
      <c r="B292" s="4017"/>
      <c r="C292" s="4017"/>
      <c r="D292" s="4017"/>
      <c r="E292" s="4018"/>
      <c r="F292" s="4018"/>
      <c r="G292" s="4018"/>
      <c r="H292" s="4018"/>
      <c r="I292" s="4019"/>
      <c r="J292" s="4020" t="str">
        <f>I280&amp;".2"</f>
        <v>1.13.1.1.2</v>
      </c>
      <c r="K292" s="4017"/>
      <c r="L292" s="4021"/>
      <c r="M292" s="4022"/>
      <c r="N292" s="4022"/>
      <c r="O292" s="4022"/>
      <c r="P292" s="4023"/>
      <c r="Q292" s="4023"/>
      <c r="R292" s="4039"/>
      <c r="S292" s="5963"/>
      <c r="T292" s="5964" t="s">
        <v>611</v>
      </c>
      <c r="U292" s="5965"/>
      <c r="V292" s="5966"/>
      <c r="W292" s="5967"/>
      <c r="X292" s="5968"/>
      <c r="Y292" s="5969"/>
      <c r="Z292" s="5970"/>
      <c r="AA292" s="5971"/>
      <c r="AB292" s="5972"/>
      <c r="AC292" s="5973"/>
      <c r="AD292" s="5974"/>
      <c r="AE292" s="5975"/>
      <c r="AF292" s="5976"/>
      <c r="AG292" s="5977"/>
      <c r="AH292" s="5978"/>
      <c r="AI292" s="5979"/>
      <c r="AJ292" s="5980"/>
      <c r="AK292" s="5981"/>
      <c r="AL292" s="5982"/>
      <c r="AM292" s="5983"/>
      <c r="AN292" s="5984"/>
      <c r="AO292" s="5985"/>
      <c r="AP292" s="5986"/>
      <c r="AQ292" s="5987"/>
      <c r="AR292" s="4065" t="s">
        <v>612</v>
      </c>
      <c r="AS292" s="3983"/>
      <c r="AT292" s="4030"/>
      <c r="AU292" s="4030" t="str">
        <f>IF(T292="","",T292)</f>
        <v>Добавить значение признака дифференциации</v>
      </c>
      <c r="AV292" s="4030"/>
      <c r="AW292" s="4030"/>
      <c r="AX292" s="3916">
        <v>0</v>
      </c>
    </row>
    <row s="11463" customFormat="1" customHeight="1" ht="21">
      <c r="A293" s="4017"/>
      <c r="B293" s="4017"/>
      <c r="C293" s="4017"/>
      <c r="D293" s="4017"/>
      <c r="E293" s="4018"/>
      <c r="F293" s="4018" t="s">
        <v>151</v>
      </c>
      <c r="G293" s="4018"/>
      <c r="H293" s="4018"/>
      <c r="I293" s="4020"/>
      <c r="J293" s="4017"/>
      <c r="K293" s="4017"/>
      <c r="L293" s="4021"/>
      <c r="M293" s="4022"/>
      <c r="N293" s="4022"/>
      <c r="O293" s="4022"/>
      <c r="P293" s="4023"/>
      <c r="Q293" s="4023"/>
      <c r="R293" s="4039"/>
      <c r="S293" s="5989"/>
      <c r="T293" s="5990" t="s">
        <v>540</v>
      </c>
      <c r="U293" s="5991"/>
      <c r="V293" s="5992"/>
      <c r="W293" s="5993"/>
      <c r="X293" s="5994"/>
      <c r="Y293" s="5995"/>
      <c r="Z293" s="5996"/>
      <c r="AA293" s="5997"/>
      <c r="AB293" s="5998"/>
      <c r="AC293" s="5999"/>
      <c r="AD293" s="6000"/>
      <c r="AE293" s="6001"/>
      <c r="AF293" s="6002"/>
      <c r="AG293" s="6003"/>
      <c r="AH293" s="6004"/>
      <c r="AI293" s="6005"/>
      <c r="AJ293" s="6006"/>
      <c r="AK293" s="6007"/>
      <c r="AL293" s="6008"/>
      <c r="AM293" s="6009"/>
      <c r="AN293" s="6010"/>
      <c r="AO293" s="6011"/>
      <c r="AP293" s="6012"/>
      <c r="AQ293" s="6013"/>
      <c r="AR293" s="6014"/>
      <c r="AS293" s="3983"/>
      <c r="AT293" s="4030"/>
      <c r="AU293" s="4030" t="str">
        <f>IF(T293="","",T293)</f>
        <v>Добавить группу потребителей</v>
      </c>
      <c r="AV293" s="4030"/>
      <c r="AW293" s="4030"/>
      <c r="AX293" s="3916">
        <v>0</v>
      </c>
    </row>
    <row s="11490" customFormat="1" customHeight="1" ht="14.25">
      <c r="A294" s="4017"/>
      <c r="B294" s="4017"/>
      <c r="C294" s="4017"/>
      <c r="D294" s="4017"/>
      <c r="E294" s="4018"/>
      <c r="F294" s="4018" t="s">
        <v>151</v>
      </c>
      <c r="G294" s="4018"/>
      <c r="H294" s="4110"/>
      <c r="I294" s="4017"/>
      <c r="J294" s="4017"/>
      <c r="K294" s="4017"/>
      <c r="L294" s="4021"/>
      <c r="M294" s="4111"/>
      <c r="N294" s="4111"/>
      <c r="O294" s="3973"/>
      <c r="P294" s="4239"/>
      <c r="Q294" s="4240"/>
      <c r="R294" s="4241"/>
      <c r="S294" s="6016"/>
      <c r="T294" s="6017" t="s">
        <v>613</v>
      </c>
      <c r="U294" s="6018"/>
      <c r="V294" s="6019"/>
      <c r="W294" s="6020"/>
      <c r="X294" s="6021"/>
      <c r="Y294" s="6022"/>
      <c r="Z294" s="6023"/>
      <c r="AA294" s="6024"/>
      <c r="AB294" s="6025"/>
      <c r="AC294" s="6026"/>
      <c r="AD294" s="6027"/>
      <c r="AE294" s="6028"/>
      <c r="AF294" s="6029"/>
      <c r="AG294" s="6030"/>
      <c r="AH294" s="6031"/>
      <c r="AI294" s="6032"/>
      <c r="AJ294" s="6033"/>
      <c r="AK294" s="6034"/>
      <c r="AL294" s="6035"/>
      <c r="AM294" s="6036"/>
      <c r="AN294" s="6037"/>
      <c r="AO294" s="6038"/>
      <c r="AP294" s="6039"/>
      <c r="AQ294" s="6040"/>
      <c r="AR294" s="6041"/>
      <c r="AS294" s="3983"/>
      <c r="AT294" s="4030"/>
      <c r="AU294" s="4030" t="str">
        <f>IF(T294="","",T294)</f>
        <v>Добавить наименование признака дифференциации</v>
      </c>
      <c r="AV294" s="4030"/>
      <c r="AW294" s="4030"/>
      <c r="AX294" s="3916">
        <v>0</v>
      </c>
    </row>
    <row s="11517" customFormat="1" customHeight="1" ht="14.25">
      <c r="A295" s="4269"/>
      <c r="B295" s="4269"/>
      <c r="C295" s="4269"/>
      <c r="D295" s="4269"/>
      <c r="E295" s="4018"/>
      <c r="F295" s="4110" t="s">
        <v>151</v>
      </c>
      <c r="G295" s="4269"/>
      <c r="H295" s="4269"/>
      <c r="I295" s="4269"/>
      <c r="J295" s="4269"/>
      <c r="K295" s="4269"/>
      <c r="L295" s="4270"/>
      <c r="M295" s="4271"/>
      <c r="N295" s="4271"/>
      <c r="O295" s="3983"/>
      <c r="P295" s="4272"/>
      <c r="Q295" s="4273"/>
      <c r="R295" s="4272"/>
      <c r="S295" s="4274"/>
      <c r="T295" s="4275" t="s">
        <v>298</v>
      </c>
      <c r="U295" s="3971"/>
      <c r="V295" s="3971"/>
      <c r="W295" s="3971"/>
      <c r="X295" s="3971"/>
      <c r="Y295" s="3971"/>
      <c r="Z295" s="3971"/>
      <c r="AA295" s="3971"/>
      <c r="AB295" s="3971"/>
      <c r="AC295" s="3971"/>
      <c r="AD295" s="3971"/>
      <c r="AE295" s="3971"/>
      <c r="AF295" s="3971"/>
      <c r="AG295" s="3971"/>
      <c r="AH295" s="3971"/>
      <c r="AI295" s="3971"/>
      <c r="AJ295" s="3971"/>
      <c r="AK295" s="3971"/>
      <c r="AL295" s="3971"/>
      <c r="AM295" s="3971"/>
      <c r="AN295" s="3971"/>
      <c r="AO295" s="3971"/>
      <c r="AP295" s="3971"/>
      <c r="AQ295" s="3971"/>
      <c r="AR295" s="3971"/>
      <c r="AS295" s="3983"/>
      <c r="AT295" s="4030"/>
      <c r="AU295" s="4030" t="str">
        <f>IF(T295="","",T295)</f>
        <v>Добавить централизованную систему для дифференциации</v>
      </c>
      <c r="AV295" s="4030"/>
      <c r="AW295" s="4030"/>
      <c r="AX295" s="3983">
        <v>0</v>
      </c>
    </row>
    <row s="11518" customFormat="1" customHeight="1" ht="23.25">
      <c r="A296" s="4017"/>
      <c r="B296" s="4017" t="s">
        <v>339</v>
      </c>
      <c r="C296" s="4017"/>
      <c r="D296" s="4017"/>
      <c r="E296" s="4018"/>
      <c r="F296" s="4110" t="s">
        <v>161</v>
      </c>
      <c r="G296" s="4017"/>
      <c r="H296" s="4017"/>
      <c r="I296" s="4017"/>
      <c r="J296" s="4017"/>
      <c r="K296" s="4017"/>
      <c r="L296" s="4021"/>
      <c r="M296" s="4111"/>
      <c r="N296" s="4111"/>
      <c r="O296" s="4111"/>
      <c r="P296" s="4112"/>
      <c r="Q296" s="4113"/>
      <c r="R296" s="4114"/>
      <c r="S296" s="4026" t="str">
        <f>INDEX(PT_DIFFERENTIATION_NUM_TER,MATCH(B296,PT_DIFFERENTIATION_TER_ID,0))</f>
        <v>1.14</v>
      </c>
      <c r="T296" s="4115" t="s">
        <v>525</v>
      </c>
      <c r="U296" s="4028"/>
      <c r="V296" s="3918"/>
      <c r="W296" s="3919"/>
      <c r="X296" s="3919"/>
      <c r="Y296" s="3919"/>
      <c r="Z296" s="3919"/>
      <c r="AA296" s="3919"/>
      <c r="AB296" s="3920"/>
      <c r="AC296" s="3918" t="str">
        <f>INDEX(PT_DIFFERENTIATION_TER,MATCH(B296,PT_DIFFERENTIATION_TER_ID,0))</f>
        <v>Территория 14</v>
      </c>
      <c r="AD296" s="3919"/>
      <c r="AE296" s="3919"/>
      <c r="AF296" s="3919"/>
      <c r="AG296" s="3919"/>
      <c r="AH296" s="3919"/>
      <c r="AI296" s="3919"/>
      <c r="AJ296" s="3918"/>
      <c r="AK296" s="3919"/>
      <c r="AL296" s="3919"/>
      <c r="AM296" s="3919"/>
      <c r="AN296" s="3919"/>
      <c r="AO296" s="3919"/>
      <c r="AP296" s="3920"/>
      <c r="AQ296" s="3920"/>
      <c r="AR296" s="4065" t="s">
        <v>526</v>
      </c>
      <c r="AS296" s="3983"/>
      <c r="AT296" s="4030"/>
      <c r="AU296" s="4030" t="str">
        <f>IF(T296="","",T296)</f>
        <v>Территория действия тарифа</v>
      </c>
      <c r="AV296" s="4030"/>
      <c r="AW296" s="4030"/>
      <c r="AX296" s="3916">
        <v>0</v>
      </c>
    </row>
    <row s="11519" customFormat="1" customHeight="1" ht="23.25">
      <c r="A297" s="4017"/>
      <c r="B297" s="4017"/>
      <c r="C297" s="4017" t="s">
        <v>340</v>
      </c>
      <c r="D297" s="4017"/>
      <c r="E297" s="4018"/>
      <c r="F297" s="4018" t="s">
        <v>156</v>
      </c>
      <c r="G297" s="4110">
        <v>1</v>
      </c>
      <c r="H297" s="4017"/>
      <c r="I297" s="4017"/>
      <c r="J297" s="4017"/>
      <c r="K297" s="4017"/>
      <c r="L297" s="4021"/>
      <c r="M297" s="4111"/>
      <c r="N297" s="4111"/>
      <c r="O297" s="4111"/>
      <c r="P297" s="4117"/>
      <c r="Q297" s="4113"/>
      <c r="R297" s="4114"/>
      <c r="S297" s="4026" t="str">
        <f>INDEX(PT_DIFFERENTIATION_NUM_CS,MATCH(C297,PT_DIFFERENTIATION_CS_ID,0))</f>
        <v>1.14.1</v>
      </c>
      <c r="T297" s="4118" t="s">
        <v>606</v>
      </c>
      <c r="U297" s="4028"/>
      <c r="V297" s="3918"/>
      <c r="W297" s="3919"/>
      <c r="X297" s="3919"/>
      <c r="Y297" s="3919"/>
      <c r="Z297" s="3919"/>
      <c r="AA297" s="3919"/>
      <c r="AB297" s="3920"/>
      <c r="AC297" s="3918" t="str">
        <f>INDEX(PT_DIFFERENTIATION_CS,MATCH(C297,PT_DIFFERENTIATION_CS_ID,0))</f>
        <v>без дифференциации</v>
      </c>
      <c r="AD297" s="3919"/>
      <c r="AE297" s="3919"/>
      <c r="AF297" s="3919"/>
      <c r="AG297" s="3919"/>
      <c r="AH297" s="3919"/>
      <c r="AI297" s="3919"/>
      <c r="AJ297" s="3918"/>
      <c r="AK297" s="3919"/>
      <c r="AL297" s="3919"/>
      <c r="AM297" s="3919"/>
      <c r="AN297" s="3919"/>
      <c r="AO297" s="3919"/>
      <c r="AP297" s="3920"/>
      <c r="AQ297" s="3920"/>
      <c r="AR297" s="4065" t="s">
        <v>607</v>
      </c>
      <c r="AS297" s="3983"/>
      <c r="AT297" s="4030"/>
      <c r="AU297" s="4030" t="str">
        <f>IF(T297="","",T297)</f>
        <v>Наименование централизованной системы холодного водоснабжения</v>
      </c>
      <c r="AV297" s="4030"/>
      <c r="AW297" s="4030"/>
      <c r="AX297" s="3916">
        <v>0</v>
      </c>
    </row>
    <row s="11520" customFormat="1" customHeight="1" ht="23.25">
      <c r="A298" s="4017"/>
      <c r="B298" s="4017"/>
      <c r="C298" s="4017"/>
      <c r="D298" s="4017"/>
      <c r="E298" s="4018"/>
      <c r="F298" s="4018" t="s">
        <v>156</v>
      </c>
      <c r="G298" s="4018"/>
      <c r="H298" s="4018"/>
      <c r="I298" s="4020" t="str">
        <f>S297&amp;".1"</f>
        <v>1.14.1.1</v>
      </c>
      <c r="J298" s="4017"/>
      <c r="K298" s="4017"/>
      <c r="L298" s="4021"/>
      <c r="M298" s="4022"/>
      <c r="N298" s="4022"/>
      <c r="O298" s="4022"/>
      <c r="P298" s="4023">
        <v>1</v>
      </c>
      <c r="Q298" s="4023"/>
      <c r="R298" s="4039"/>
      <c r="S298" s="4026" t="str">
        <f>$I298</f>
        <v>1.14.1.1</v>
      </c>
      <c r="T298" s="4120" t="s">
        <v>608</v>
      </c>
      <c r="U298" s="4028"/>
      <c r="V298" s="3928"/>
      <c r="W298" s="3929"/>
      <c r="X298" s="3929"/>
      <c r="Y298" s="3929"/>
      <c r="Z298" s="3929"/>
      <c r="AA298" s="3929"/>
      <c r="AB298" s="3930"/>
      <c r="AC298" s="4121"/>
      <c r="AD298" s="4122"/>
      <c r="AE298" s="4122"/>
      <c r="AF298" s="4122"/>
      <c r="AG298" s="4122"/>
      <c r="AH298" s="4122"/>
      <c r="AI298" s="4122"/>
      <c r="AJ298" s="3928"/>
      <c r="AK298" s="3929"/>
      <c r="AL298" s="3929"/>
      <c r="AM298" s="3929"/>
      <c r="AN298" s="3929"/>
      <c r="AO298" s="3929"/>
      <c r="AP298" s="3930"/>
      <c r="AQ298" s="4123"/>
      <c r="AR298" s="4065" t="s">
        <v>609</v>
      </c>
      <c r="AS298" s="3983"/>
      <c r="AT298" s="4030"/>
      <c r="AU298" s="4030" t="str">
        <f>IF(T298="","",T298)</f>
        <v>Наименование признака дифференциации</v>
      </c>
      <c r="AV298" s="4030"/>
      <c r="AW298" s="4030"/>
      <c r="AX298" s="3916">
        <v>0</v>
      </c>
    </row>
    <row s="11521" customFormat="1" customHeight="1" ht="23.25">
      <c r="A299" s="4017"/>
      <c r="B299" s="4017"/>
      <c r="C299" s="4017"/>
      <c r="D299" s="4017"/>
      <c r="E299" s="4018"/>
      <c r="F299" s="4018" t="s">
        <v>156</v>
      </c>
      <c r="G299" s="4018"/>
      <c r="H299" s="4018"/>
      <c r="I299" s="4019"/>
      <c r="J299" s="4020" t="str">
        <f>I298&amp;".1"</f>
        <v>1.14.1.1.1</v>
      </c>
      <c r="K299" s="4017"/>
      <c r="L299" s="4021" t="s">
        <v>534</v>
      </c>
      <c r="M299" s="4022"/>
      <c r="N299" s="4022"/>
      <c r="O299" s="4022"/>
      <c r="P299" s="4023"/>
      <c r="Q299" s="4023">
        <v>1</v>
      </c>
      <c r="R299" s="4025"/>
      <c r="S299" s="4026" t="str">
        <f>$J299</f>
        <v>1.14.1.1.1</v>
      </c>
      <c r="T299" s="4027" t="s">
        <v>535</v>
      </c>
      <c r="U299" s="4028"/>
      <c r="V299" s="3932"/>
      <c r="W299" s="3933"/>
      <c r="X299" s="3933"/>
      <c r="Y299" s="3933"/>
      <c r="Z299" s="3933"/>
      <c r="AA299" s="3933"/>
      <c r="AB299" s="3934"/>
      <c r="AC299" s="3932" t="s">
        <v>621</v>
      </c>
      <c r="AD299" s="3933"/>
      <c r="AE299" s="3933"/>
      <c r="AF299" s="3933"/>
      <c r="AG299" s="3933"/>
      <c r="AH299" s="3933"/>
      <c r="AI299" s="3933"/>
      <c r="AJ299" s="3932"/>
      <c r="AK299" s="3933"/>
      <c r="AL299" s="3933"/>
      <c r="AM299" s="3933"/>
      <c r="AN299" s="3933"/>
      <c r="AO299" s="3933"/>
      <c r="AP299" s="3934"/>
      <c r="AQ299" s="3934"/>
      <c r="AR299" s="4029" t="s">
        <v>610</v>
      </c>
      <c r="AS299" s="3983"/>
      <c r="AT299" s="4030"/>
      <c r="AU299" s="4030" t="str">
        <f>IF(T299="","",T299)</f>
        <v>Группа потребителей</v>
      </c>
      <c r="AV299" s="4030"/>
      <c r="AW299" s="4030"/>
      <c r="AX299" s="3916">
        <v>0</v>
      </c>
    </row>
    <row s="11522" customFormat="1" customHeight="1" ht="23.25">
      <c r="A300" s="4017"/>
      <c r="B300" s="4017"/>
      <c r="C300" s="4017"/>
      <c r="D300" s="4017"/>
      <c r="E300" s="4018"/>
      <c r="F300" s="4018" t="s">
        <v>156</v>
      </c>
      <c r="G300" s="4018"/>
      <c r="H300" s="4018"/>
      <c r="I300" s="4019"/>
      <c r="J300" s="4019"/>
      <c r="K300" s="4020" t="str">
        <f>J299&amp;".1"</f>
        <v>1.14.1.1.1.1</v>
      </c>
      <c r="L300" s="4021"/>
      <c r="M300" s="4022"/>
      <c r="N300" s="4022"/>
      <c r="O300" s="4022"/>
      <c r="P300" s="4023"/>
      <c r="Q300" s="4023"/>
      <c r="R300" s="4025">
        <v>1</v>
      </c>
      <c r="S300" s="4026" t="str">
        <f>$K300</f>
        <v>1.14.1.1.1.1</v>
      </c>
      <c r="T300" s="4032"/>
      <c r="U300" s="4028"/>
      <c r="V300" s="3936"/>
      <c r="W300" s="3936"/>
      <c r="X300" s="3937"/>
      <c r="Y300" s="3938"/>
      <c r="Z300" s="3939" t="s">
        <v>66</v>
      </c>
      <c r="AA300" s="3938"/>
      <c r="AB300" s="3939" t="s">
        <v>66</v>
      </c>
      <c r="AC300" s="3936">
        <v>57.42</v>
      </c>
      <c r="AD300" s="3936"/>
      <c r="AE300" s="3937"/>
      <c r="AF300" s="3938">
        <v>45658</v>
      </c>
      <c r="AG300" s="3939" t="s">
        <v>66</v>
      </c>
      <c r="AH300" s="4006">
        <v>45838</v>
      </c>
      <c r="AI300" s="3939" t="s">
        <v>66</v>
      </c>
      <c r="AJ300" s="3936">
        <v>62.02</v>
      </c>
      <c r="AK300" s="3936"/>
      <c r="AL300" s="3937"/>
      <c r="AM300" s="3938">
        <v>45839</v>
      </c>
      <c r="AN300" s="3939" t="s">
        <v>66</v>
      </c>
      <c r="AO300" s="3938">
        <v>46022</v>
      </c>
      <c r="AP300" s="3939" t="s">
        <v>66</v>
      </c>
      <c r="AQ300" s="4033"/>
      <c r="AR300" s="4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300" s="3983">
        <f>STRCHECKDATE(V301:AQ301)</f>
      </c>
      <c r="AT300" s="4030"/>
      <c r="AU300" s="4030" t="str">
        <f>IF(T300="","",T300)</f>
        <v/>
      </c>
      <c r="AV300" s="4030"/>
      <c r="AW300" s="4030"/>
      <c r="AX300" s="3916">
        <v>0</v>
      </c>
    </row>
    <row s="11523" customFormat="1" customHeight="1" ht="14.25">
      <c r="A301" s="4017"/>
      <c r="B301" s="4017"/>
      <c r="C301" s="4017"/>
      <c r="D301" s="4017"/>
      <c r="E301" s="4018"/>
      <c r="F301" s="4018" t="s">
        <v>156</v>
      </c>
      <c r="G301" s="4018"/>
      <c r="H301" s="4018"/>
      <c r="I301" s="4019"/>
      <c r="J301" s="4019"/>
      <c r="K301" s="4020"/>
      <c r="L301" s="4021"/>
      <c r="M301" s="4022"/>
      <c r="N301" s="4022"/>
      <c r="O301" s="4022"/>
      <c r="P301" s="4023"/>
      <c r="Q301" s="4023"/>
      <c r="R301" s="4025"/>
      <c r="S301" s="4036"/>
      <c r="T301" s="4028"/>
      <c r="U301" s="4028"/>
      <c r="V301" s="3943"/>
      <c r="W301" s="3943"/>
      <c r="X301" s="3944" t="str">
        <f>Y300&amp;"-"&amp;AA300</f>
        <v>-</v>
      </c>
      <c r="Y301" s="3945"/>
      <c r="Z301" s="3939"/>
      <c r="AA301" s="3945"/>
      <c r="AB301" s="3939"/>
      <c r="AC301" s="3943"/>
      <c r="AD301" s="3943"/>
      <c r="AE301" s="3944" t="str">
        <f>AF300&amp;"-"&amp;AH300</f>
        <v>45658-45838</v>
      </c>
      <c r="AF301" s="3945"/>
      <c r="AG301" s="3939"/>
      <c r="AH301" s="4008"/>
      <c r="AI301" s="3939"/>
      <c r="AJ301" s="3943"/>
      <c r="AK301" s="3943"/>
      <c r="AL301" s="3944" t="str">
        <f>AM300&amp;"-"&amp;AO300</f>
        <v>45839-46022</v>
      </c>
      <c r="AM301" s="3945"/>
      <c r="AN301" s="3939"/>
      <c r="AO301" s="3945"/>
      <c r="AP301" s="3939"/>
      <c r="AQ301" s="4037"/>
      <c r="AR301" s="4034"/>
      <c r="AS301" s="3983"/>
      <c r="AT301" s="4030"/>
      <c r="AU301" s="4030" t="str">
        <f>IF(T301="","",T301)</f>
        <v/>
      </c>
      <c r="AV301" s="4030"/>
      <c r="AW301" s="4030"/>
      <c r="AX301" s="3916">
        <v>0</v>
      </c>
    </row>
    <row s="11524" customFormat="1" customHeight="1" ht="21">
      <c r="A302" s="4017"/>
      <c r="B302" s="4017"/>
      <c r="C302" s="4017"/>
      <c r="D302" s="4017"/>
      <c r="E302" s="4018"/>
      <c r="F302" s="4018" t="s">
        <v>156</v>
      </c>
      <c r="G302" s="4018"/>
      <c r="H302" s="4018"/>
      <c r="I302" s="4019"/>
      <c r="J302" s="4020"/>
      <c r="K302" s="4017"/>
      <c r="L302" s="4021"/>
      <c r="M302" s="4022"/>
      <c r="N302" s="4022"/>
      <c r="O302" s="4022"/>
      <c r="P302" s="4023"/>
      <c r="Q302" s="4023"/>
      <c r="R302" s="4039"/>
      <c r="S302" s="6050"/>
      <c r="T302" s="6051" t="s">
        <v>611</v>
      </c>
      <c r="U302" s="6052"/>
      <c r="V302" s="6053"/>
      <c r="W302" s="6054"/>
      <c r="X302" s="6055"/>
      <c r="Y302" s="6056"/>
      <c r="Z302" s="6057"/>
      <c r="AA302" s="6058"/>
      <c r="AB302" s="6059"/>
      <c r="AC302" s="6060"/>
      <c r="AD302" s="6061"/>
      <c r="AE302" s="6062"/>
      <c r="AF302" s="6063"/>
      <c r="AG302" s="6064"/>
      <c r="AH302" s="6065"/>
      <c r="AI302" s="6066"/>
      <c r="AJ302" s="6067"/>
      <c r="AK302" s="6068"/>
      <c r="AL302" s="6069"/>
      <c r="AM302" s="6070"/>
      <c r="AN302" s="6071"/>
      <c r="AO302" s="6072"/>
      <c r="AP302" s="6073"/>
      <c r="AQ302" s="6074"/>
      <c r="AR302" s="4065" t="s">
        <v>612</v>
      </c>
      <c r="AS302" s="3983"/>
      <c r="AT302" s="4030"/>
      <c r="AU302" s="4030" t="str">
        <f>IF(T302="","",T302)</f>
        <v>Добавить значение признака дифференциации</v>
      </c>
      <c r="AV302" s="4030"/>
      <c r="AW302" s="4030"/>
      <c r="AX302" s="3916">
        <v>0</v>
      </c>
    </row>
    <row s="11550" customFormat="1" customHeight="1" ht="23.25">
      <c r="A303" s="4017"/>
      <c r="B303" s="4017"/>
      <c r="C303" s="4017"/>
      <c r="D303" s="4017"/>
      <c r="E303" s="4018"/>
      <c r="F303" s="4018"/>
      <c r="G303" s="4018"/>
      <c r="H303" s="4018"/>
      <c r="I303" s="4019"/>
      <c r="J303" s="4020" t="str">
        <f>I298&amp;".2"</f>
        <v>1.14.1.1.2</v>
      </c>
      <c r="K303" s="4017"/>
      <c r="L303" s="4021" t="s">
        <v>534</v>
      </c>
      <c r="M303" s="4022"/>
      <c r="N303" s="4022"/>
      <c r="O303" s="4022"/>
      <c r="P303" s="4023"/>
      <c r="Q303" s="4024" t="s">
        <v>105</v>
      </c>
      <c r="R303" s="4025"/>
      <c r="S303" s="4026" t="str">
        <f>$J303</f>
        <v>1.14.1.1.2</v>
      </c>
      <c r="T303" s="4027" t="s">
        <v>535</v>
      </c>
      <c r="U303" s="4028"/>
      <c r="V303" s="3932"/>
      <c r="W303" s="3933"/>
      <c r="X303" s="3933"/>
      <c r="Y303" s="3933"/>
      <c r="Z303" s="3933"/>
      <c r="AA303" s="3933"/>
      <c r="AB303" s="3934"/>
      <c r="AC303" s="3932" t="s">
        <v>622</v>
      </c>
      <c r="AD303" s="3933"/>
      <c r="AE303" s="3933"/>
      <c r="AF303" s="3933"/>
      <c r="AG303" s="3933"/>
      <c r="AH303" s="3933"/>
      <c r="AI303" s="3933"/>
      <c r="AJ303" s="3932"/>
      <c r="AK303" s="3933"/>
      <c r="AL303" s="3933"/>
      <c r="AM303" s="3933"/>
      <c r="AN303" s="3933"/>
      <c r="AO303" s="3933"/>
      <c r="AP303" s="3934"/>
      <c r="AQ303" s="3934"/>
      <c r="AR303" s="4029" t="s">
        <v>610</v>
      </c>
      <c r="AS303" s="3983"/>
      <c r="AT303" s="4030"/>
      <c r="AU303" s="4030" t="str">
        <f>IF(T303="","",T303)</f>
        <v>Группа потребителей</v>
      </c>
      <c r="AV303" s="4030"/>
      <c r="AW303" s="4030"/>
      <c r="AX303" s="3916">
        <v>0</v>
      </c>
    </row>
    <row s="11551" customFormat="1" customHeight="1" ht="23.25">
      <c r="A304" s="4017"/>
      <c r="B304" s="4017"/>
      <c r="C304" s="4017"/>
      <c r="D304" s="4017"/>
      <c r="E304" s="4018"/>
      <c r="F304" s="4018"/>
      <c r="G304" s="4018"/>
      <c r="H304" s="4018"/>
      <c r="I304" s="4019"/>
      <c r="J304" s="4019" t="str">
        <f>I298&amp;".1"</f>
        <v>1.14.1.1.1</v>
      </c>
      <c r="K304" s="4020" t="str">
        <f>J303&amp;".1"</f>
        <v>1.14.1.1.2.1</v>
      </c>
      <c r="L304" s="4021"/>
      <c r="M304" s="4022"/>
      <c r="N304" s="4022"/>
      <c r="O304" s="4022"/>
      <c r="P304" s="4023"/>
      <c r="Q304" s="4023"/>
      <c r="R304" s="4025">
        <v>1</v>
      </c>
      <c r="S304" s="4026" t="str">
        <f>$K304</f>
        <v>1.14.1.1.2.1</v>
      </c>
      <c r="T304" s="4032"/>
      <c r="U304" s="4028"/>
      <c r="V304" s="3936"/>
      <c r="W304" s="3936"/>
      <c r="X304" s="3937"/>
      <c r="Y304" s="3938"/>
      <c r="Z304" s="3939" t="s">
        <v>66</v>
      </c>
      <c r="AA304" s="3938"/>
      <c r="AB304" s="3939" t="s">
        <v>66</v>
      </c>
      <c r="AC304" s="3936">
        <v>54.69</v>
      </c>
      <c r="AD304" s="3936"/>
      <c r="AE304" s="3937"/>
      <c r="AF304" s="3938">
        <v>45658</v>
      </c>
      <c r="AG304" s="3939" t="s">
        <v>66</v>
      </c>
      <c r="AH304" s="4006">
        <v>45838</v>
      </c>
      <c r="AI304" s="3939" t="s">
        <v>66</v>
      </c>
      <c r="AJ304" s="3936">
        <v>102.47</v>
      </c>
      <c r="AK304" s="3936"/>
      <c r="AL304" s="3937"/>
      <c r="AM304" s="3938">
        <v>45839</v>
      </c>
      <c r="AN304" s="3939" t="s">
        <v>66</v>
      </c>
      <c r="AO304" s="3938">
        <v>46022</v>
      </c>
      <c r="AP304" s="3939" t="s">
        <v>66</v>
      </c>
      <c r="AQ304" s="4033"/>
      <c r="AR304" s="4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304" s="3983">
        <f>STRCHECKDATE(V305:AQ305)</f>
      </c>
      <c r="AT304" s="4030"/>
      <c r="AU304" s="4030" t="str">
        <f>IF(T304="","",T304)</f>
        <v/>
      </c>
      <c r="AV304" s="4030"/>
      <c r="AW304" s="4030"/>
      <c r="AX304" s="3916">
        <v>0</v>
      </c>
    </row>
    <row s="11552" customFormat="1" customHeight="1" ht="14.25">
      <c r="A305" s="4017"/>
      <c r="B305" s="4017"/>
      <c r="C305" s="4017"/>
      <c r="D305" s="4017"/>
      <c r="E305" s="4018"/>
      <c r="F305" s="4018"/>
      <c r="G305" s="4018"/>
      <c r="H305" s="4018"/>
      <c r="I305" s="4019"/>
      <c r="J305" s="4019" t="str">
        <f>I298&amp;".1"</f>
        <v>1.14.1.1.1</v>
      </c>
      <c r="K305" s="4020"/>
      <c r="L305" s="4021"/>
      <c r="M305" s="4022"/>
      <c r="N305" s="4022"/>
      <c r="O305" s="4022"/>
      <c r="P305" s="4023"/>
      <c r="Q305" s="4023"/>
      <c r="R305" s="4025"/>
      <c r="S305" s="4036"/>
      <c r="T305" s="4028"/>
      <c r="U305" s="4028"/>
      <c r="V305" s="3943"/>
      <c r="W305" s="3943"/>
      <c r="X305" s="3944" t="str">
        <f>Y304&amp;"-"&amp;AA304</f>
        <v>-</v>
      </c>
      <c r="Y305" s="3945"/>
      <c r="Z305" s="3939"/>
      <c r="AA305" s="3945"/>
      <c r="AB305" s="3939"/>
      <c r="AC305" s="3943"/>
      <c r="AD305" s="3943"/>
      <c r="AE305" s="3944" t="str">
        <f>AF304&amp;"-"&amp;AH304</f>
        <v>45658-45838</v>
      </c>
      <c r="AF305" s="3945"/>
      <c r="AG305" s="3939"/>
      <c r="AH305" s="4008"/>
      <c r="AI305" s="3939"/>
      <c r="AJ305" s="3943"/>
      <c r="AK305" s="3943"/>
      <c r="AL305" s="3944" t="str">
        <f>AM304&amp;"-"&amp;AO304</f>
        <v>45839-46022</v>
      </c>
      <c r="AM305" s="3945"/>
      <c r="AN305" s="3939"/>
      <c r="AO305" s="3945"/>
      <c r="AP305" s="3939"/>
      <c r="AQ305" s="4037"/>
      <c r="AR305" s="4034"/>
      <c r="AS305" s="3983"/>
      <c r="AT305" s="4030"/>
      <c r="AU305" s="4030" t="str">
        <f>IF(T305="","",T305)</f>
        <v/>
      </c>
      <c r="AV305" s="4030"/>
      <c r="AW305" s="4030"/>
      <c r="AX305" s="3916">
        <v>0</v>
      </c>
    </row>
    <row s="11553" customFormat="1" customHeight="1" ht="21">
      <c r="A306" s="4017"/>
      <c r="B306" s="4017"/>
      <c r="C306" s="4017"/>
      <c r="D306" s="4017"/>
      <c r="E306" s="4018"/>
      <c r="F306" s="4018"/>
      <c r="G306" s="4018"/>
      <c r="H306" s="4018"/>
      <c r="I306" s="4019"/>
      <c r="J306" s="4020" t="str">
        <f>I298&amp;".1"</f>
        <v>1.14.1.1.1</v>
      </c>
      <c r="K306" s="4017"/>
      <c r="L306" s="4021"/>
      <c r="M306" s="4022"/>
      <c r="N306" s="4022"/>
      <c r="O306" s="4022"/>
      <c r="P306" s="4023"/>
      <c r="Q306" s="4023"/>
      <c r="R306" s="4039"/>
      <c r="S306" s="6079"/>
      <c r="T306" s="6080" t="s">
        <v>611</v>
      </c>
      <c r="U306" s="6081"/>
      <c r="V306" s="6082"/>
      <c r="W306" s="6083"/>
      <c r="X306" s="6084"/>
      <c r="Y306" s="6085"/>
      <c r="Z306" s="6086"/>
      <c r="AA306" s="6087"/>
      <c r="AB306" s="6088"/>
      <c r="AC306" s="6089"/>
      <c r="AD306" s="6090"/>
      <c r="AE306" s="6091"/>
      <c r="AF306" s="6092"/>
      <c r="AG306" s="6093"/>
      <c r="AH306" s="6094"/>
      <c r="AI306" s="6095"/>
      <c r="AJ306" s="6096"/>
      <c r="AK306" s="6097"/>
      <c r="AL306" s="6098"/>
      <c r="AM306" s="6099"/>
      <c r="AN306" s="6100"/>
      <c r="AO306" s="6101"/>
      <c r="AP306" s="6102"/>
      <c r="AQ306" s="6103"/>
      <c r="AR306" s="4065" t="s">
        <v>612</v>
      </c>
      <c r="AS306" s="3983"/>
      <c r="AT306" s="4030"/>
      <c r="AU306" s="4030" t="str">
        <f>IF(T306="","",T306)</f>
        <v>Добавить значение признака дифференциации</v>
      </c>
      <c r="AV306" s="4030"/>
      <c r="AW306" s="4030"/>
      <c r="AX306" s="3916">
        <v>0</v>
      </c>
    </row>
    <row s="11579" customFormat="1" customHeight="1" ht="23.25">
      <c r="A307" s="4017"/>
      <c r="B307" s="4017"/>
      <c r="C307" s="4017"/>
      <c r="D307" s="4017"/>
      <c r="E307" s="4018"/>
      <c r="F307" s="4018"/>
      <c r="G307" s="4018"/>
      <c r="H307" s="4018"/>
      <c r="I307" s="4019"/>
      <c r="J307" s="4020" t="str">
        <f>I298&amp;".3"</f>
        <v>1.14.1.1.3</v>
      </c>
      <c r="K307" s="4017"/>
      <c r="L307" s="4021" t="s">
        <v>534</v>
      </c>
      <c r="M307" s="4022"/>
      <c r="N307" s="4022"/>
      <c r="O307" s="4022"/>
      <c r="P307" s="4023"/>
      <c r="Q307" s="4024" t="s">
        <v>105</v>
      </c>
      <c r="R307" s="4025"/>
      <c r="S307" s="4026" t="str">
        <f>$J307</f>
        <v>1.14.1.1.3</v>
      </c>
      <c r="T307" s="4027" t="s">
        <v>535</v>
      </c>
      <c r="U307" s="4028"/>
      <c r="V307" s="3932"/>
      <c r="W307" s="3933"/>
      <c r="X307" s="3933"/>
      <c r="Y307" s="3933"/>
      <c r="Z307" s="3933"/>
      <c r="AA307" s="3933"/>
      <c r="AB307" s="3934"/>
      <c r="AC307" s="3932" t="s">
        <v>623</v>
      </c>
      <c r="AD307" s="3933"/>
      <c r="AE307" s="3933"/>
      <c r="AF307" s="3933"/>
      <c r="AG307" s="3933"/>
      <c r="AH307" s="3933"/>
      <c r="AI307" s="3933"/>
      <c r="AJ307" s="3932"/>
      <c r="AK307" s="3933"/>
      <c r="AL307" s="3933"/>
      <c r="AM307" s="3933"/>
      <c r="AN307" s="3933"/>
      <c r="AO307" s="3933"/>
      <c r="AP307" s="3934"/>
      <c r="AQ307" s="3934"/>
      <c r="AR307" s="4029" t="s">
        <v>610</v>
      </c>
      <c r="AS307" s="3983"/>
      <c r="AT307" s="4030"/>
      <c r="AU307" s="4030" t="str">
        <f>IF(T307="","",T307)</f>
        <v>Группа потребителей</v>
      </c>
      <c r="AV307" s="4030"/>
      <c r="AW307" s="4030"/>
      <c r="AX307" s="3916">
        <v>0</v>
      </c>
    </row>
    <row s="11580" customFormat="1" customHeight="1" ht="23.25">
      <c r="A308" s="4017"/>
      <c r="B308" s="4017"/>
      <c r="C308" s="4017"/>
      <c r="D308" s="4017"/>
      <c r="E308" s="4018"/>
      <c r="F308" s="4018"/>
      <c r="G308" s="4018"/>
      <c r="H308" s="4018"/>
      <c r="I308" s="4019"/>
      <c r="J308" s="4019" t="str">
        <f>I298&amp;".2"</f>
        <v>1.14.1.1.2</v>
      </c>
      <c r="K308" s="4020" t="str">
        <f>J307&amp;".1"</f>
        <v>1.14.1.1.3.1</v>
      </c>
      <c r="L308" s="4021"/>
      <c r="M308" s="4022"/>
      <c r="N308" s="4022"/>
      <c r="O308" s="4022"/>
      <c r="P308" s="4023"/>
      <c r="Q308" s="4023"/>
      <c r="R308" s="4025">
        <v>1</v>
      </c>
      <c r="S308" s="4026" t="str">
        <f>$K308</f>
        <v>1.14.1.1.3.1</v>
      </c>
      <c r="T308" s="4032"/>
      <c r="U308" s="4028"/>
      <c r="V308" s="3936"/>
      <c r="W308" s="3936"/>
      <c r="X308" s="3937"/>
      <c r="Y308" s="3938"/>
      <c r="Z308" s="3939" t="s">
        <v>66</v>
      </c>
      <c r="AA308" s="3938"/>
      <c r="AB308" s="3939" t="s">
        <v>66</v>
      </c>
      <c r="AC308" s="3936">
        <v>54.69</v>
      </c>
      <c r="AD308" s="3936"/>
      <c r="AE308" s="3937"/>
      <c r="AF308" s="3938">
        <v>45658</v>
      </c>
      <c r="AG308" s="3939" t="s">
        <v>66</v>
      </c>
      <c r="AH308" s="4006">
        <v>45838</v>
      </c>
      <c r="AI308" s="3939" t="s">
        <v>66</v>
      </c>
      <c r="AJ308" s="3936">
        <v>102.47</v>
      </c>
      <c r="AK308" s="3936"/>
      <c r="AL308" s="3937"/>
      <c r="AM308" s="3938">
        <v>45839</v>
      </c>
      <c r="AN308" s="3939" t="s">
        <v>66</v>
      </c>
      <c r="AO308" s="3938">
        <v>46022</v>
      </c>
      <c r="AP308" s="3939" t="s">
        <v>66</v>
      </c>
      <c r="AQ308" s="4033"/>
      <c r="AR308" s="4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308" s="3983">
        <f>STRCHECKDATE(V309:AQ309)</f>
      </c>
      <c r="AT308" s="4030"/>
      <c r="AU308" s="4030" t="str">
        <f>IF(T308="","",T308)</f>
        <v/>
      </c>
      <c r="AV308" s="4030"/>
      <c r="AW308" s="4030"/>
      <c r="AX308" s="3916">
        <v>0</v>
      </c>
    </row>
    <row s="11581" customFormat="1" customHeight="1" ht="14.25">
      <c r="A309" s="4017"/>
      <c r="B309" s="4017"/>
      <c r="C309" s="4017"/>
      <c r="D309" s="4017"/>
      <c r="E309" s="4018"/>
      <c r="F309" s="4018"/>
      <c r="G309" s="4018"/>
      <c r="H309" s="4018"/>
      <c r="I309" s="4019"/>
      <c r="J309" s="4019" t="str">
        <f>I298&amp;".2"</f>
        <v>1.14.1.1.2</v>
      </c>
      <c r="K309" s="4020"/>
      <c r="L309" s="4021"/>
      <c r="M309" s="4022"/>
      <c r="N309" s="4022"/>
      <c r="O309" s="4022"/>
      <c r="P309" s="4023"/>
      <c r="Q309" s="4023"/>
      <c r="R309" s="4025"/>
      <c r="S309" s="4036"/>
      <c r="T309" s="4028"/>
      <c r="U309" s="4028"/>
      <c r="V309" s="3943"/>
      <c r="W309" s="3943"/>
      <c r="X309" s="3944" t="str">
        <f>Y308&amp;"-"&amp;AA308</f>
        <v>-</v>
      </c>
      <c r="Y309" s="3945"/>
      <c r="Z309" s="3939"/>
      <c r="AA309" s="3945"/>
      <c r="AB309" s="3939"/>
      <c r="AC309" s="3943"/>
      <c r="AD309" s="3943"/>
      <c r="AE309" s="3944" t="str">
        <f>AF308&amp;"-"&amp;AH308</f>
        <v>45658-45838</v>
      </c>
      <c r="AF309" s="3945"/>
      <c r="AG309" s="3939"/>
      <c r="AH309" s="4008"/>
      <c r="AI309" s="3939"/>
      <c r="AJ309" s="3943"/>
      <c r="AK309" s="3943"/>
      <c r="AL309" s="3944" t="str">
        <f>AM308&amp;"-"&amp;AO308</f>
        <v>45839-46022</v>
      </c>
      <c r="AM309" s="3945"/>
      <c r="AN309" s="3939"/>
      <c r="AO309" s="3945"/>
      <c r="AP309" s="3939"/>
      <c r="AQ309" s="4037"/>
      <c r="AR309" s="4034"/>
      <c r="AS309" s="3983"/>
      <c r="AT309" s="4030"/>
      <c r="AU309" s="4030" t="str">
        <f>IF(T309="","",T309)</f>
        <v/>
      </c>
      <c r="AV309" s="4030"/>
      <c r="AW309" s="4030"/>
      <c r="AX309" s="3916">
        <v>0</v>
      </c>
    </row>
    <row s="11582" customFormat="1" customHeight="1" ht="21">
      <c r="A310" s="4017"/>
      <c r="B310" s="4017"/>
      <c r="C310" s="4017"/>
      <c r="D310" s="4017"/>
      <c r="E310" s="4018"/>
      <c r="F310" s="4018"/>
      <c r="G310" s="4018"/>
      <c r="H310" s="4018"/>
      <c r="I310" s="4019"/>
      <c r="J310" s="4020" t="str">
        <f>I298&amp;".2"</f>
        <v>1.14.1.1.2</v>
      </c>
      <c r="K310" s="4017"/>
      <c r="L310" s="4021"/>
      <c r="M310" s="4022"/>
      <c r="N310" s="4022"/>
      <c r="O310" s="4022"/>
      <c r="P310" s="4023"/>
      <c r="Q310" s="4023"/>
      <c r="R310" s="4039"/>
      <c r="S310" s="6108"/>
      <c r="T310" s="6109" t="s">
        <v>611</v>
      </c>
      <c r="U310" s="6110"/>
      <c r="V310" s="6111"/>
      <c r="W310" s="6112"/>
      <c r="X310" s="6113"/>
      <c r="Y310" s="6114"/>
      <c r="Z310" s="6115"/>
      <c r="AA310" s="6116"/>
      <c r="AB310" s="6117"/>
      <c r="AC310" s="6118"/>
      <c r="AD310" s="6119"/>
      <c r="AE310" s="6120"/>
      <c r="AF310" s="6121"/>
      <c r="AG310" s="6122"/>
      <c r="AH310" s="6123"/>
      <c r="AI310" s="6124"/>
      <c r="AJ310" s="6125"/>
      <c r="AK310" s="6126"/>
      <c r="AL310" s="6127"/>
      <c r="AM310" s="6128"/>
      <c r="AN310" s="6129"/>
      <c r="AO310" s="6130"/>
      <c r="AP310" s="6131"/>
      <c r="AQ310" s="6132"/>
      <c r="AR310" s="4065" t="s">
        <v>612</v>
      </c>
      <c r="AS310" s="3983"/>
      <c r="AT310" s="4030"/>
      <c r="AU310" s="4030" t="str">
        <f>IF(T310="","",T310)</f>
        <v>Добавить значение признака дифференциации</v>
      </c>
      <c r="AV310" s="4030"/>
      <c r="AW310" s="4030"/>
      <c r="AX310" s="3916">
        <v>0</v>
      </c>
    </row>
    <row s="11608" customFormat="1" customHeight="1" ht="21">
      <c r="A311" s="4017"/>
      <c r="B311" s="4017"/>
      <c r="C311" s="4017"/>
      <c r="D311" s="4017"/>
      <c r="E311" s="4018"/>
      <c r="F311" s="4018" t="s">
        <v>156</v>
      </c>
      <c r="G311" s="4018"/>
      <c r="H311" s="4018"/>
      <c r="I311" s="4020"/>
      <c r="J311" s="4017"/>
      <c r="K311" s="4017"/>
      <c r="L311" s="4021"/>
      <c r="M311" s="4022"/>
      <c r="N311" s="4022"/>
      <c r="O311" s="4022"/>
      <c r="P311" s="4023"/>
      <c r="Q311" s="4023"/>
      <c r="R311" s="4039"/>
      <c r="S311" s="6134"/>
      <c r="T311" s="6135" t="s">
        <v>540</v>
      </c>
      <c r="U311" s="6136"/>
      <c r="V311" s="6137"/>
      <c r="W311" s="6138"/>
      <c r="X311" s="6139"/>
      <c r="Y311" s="6140"/>
      <c r="Z311" s="6141"/>
      <c r="AA311" s="6142"/>
      <c r="AB311" s="6143"/>
      <c r="AC311" s="6144"/>
      <c r="AD311" s="6145"/>
      <c r="AE311" s="6146"/>
      <c r="AF311" s="6147"/>
      <c r="AG311" s="6148"/>
      <c r="AH311" s="6149"/>
      <c r="AI311" s="6150"/>
      <c r="AJ311" s="6151"/>
      <c r="AK311" s="6152"/>
      <c r="AL311" s="6153"/>
      <c r="AM311" s="6154"/>
      <c r="AN311" s="6155"/>
      <c r="AO311" s="6156"/>
      <c r="AP311" s="6157"/>
      <c r="AQ311" s="6158"/>
      <c r="AR311" s="6159"/>
      <c r="AS311" s="3983"/>
      <c r="AT311" s="4030"/>
      <c r="AU311" s="4030" t="str">
        <f>IF(T311="","",T311)</f>
        <v>Добавить группу потребителей</v>
      </c>
      <c r="AV311" s="4030"/>
      <c r="AW311" s="4030"/>
      <c r="AX311" s="3916">
        <v>0</v>
      </c>
    </row>
    <row s="11635" customFormat="1" customHeight="1" ht="14.25">
      <c r="A312" s="4017"/>
      <c r="B312" s="4017"/>
      <c r="C312" s="4017"/>
      <c r="D312" s="4017"/>
      <c r="E312" s="4018"/>
      <c r="F312" s="4018" t="s">
        <v>156</v>
      </c>
      <c r="G312" s="4018"/>
      <c r="H312" s="4110"/>
      <c r="I312" s="4017"/>
      <c r="J312" s="4017"/>
      <c r="K312" s="4017"/>
      <c r="L312" s="4021"/>
      <c r="M312" s="4111"/>
      <c r="N312" s="4111"/>
      <c r="O312" s="3973"/>
      <c r="P312" s="4239"/>
      <c r="Q312" s="4240"/>
      <c r="R312" s="4241"/>
      <c r="S312" s="6161"/>
      <c r="T312" s="6162" t="s">
        <v>613</v>
      </c>
      <c r="U312" s="6163"/>
      <c r="V312" s="6164"/>
      <c r="W312" s="6165"/>
      <c r="X312" s="6166"/>
      <c r="Y312" s="6167"/>
      <c r="Z312" s="6168"/>
      <c r="AA312" s="6169"/>
      <c r="AB312" s="6170"/>
      <c r="AC312" s="6171"/>
      <c r="AD312" s="6172"/>
      <c r="AE312" s="6173"/>
      <c r="AF312" s="6174"/>
      <c r="AG312" s="6175"/>
      <c r="AH312" s="6176"/>
      <c r="AI312" s="6177"/>
      <c r="AJ312" s="6178"/>
      <c r="AK312" s="6179"/>
      <c r="AL312" s="6180"/>
      <c r="AM312" s="6181"/>
      <c r="AN312" s="6182"/>
      <c r="AO312" s="6183"/>
      <c r="AP312" s="6184"/>
      <c r="AQ312" s="6185"/>
      <c r="AR312" s="6186"/>
      <c r="AS312" s="3983"/>
      <c r="AT312" s="4030"/>
      <c r="AU312" s="4030" t="str">
        <f>IF(T312="","",T312)</f>
        <v>Добавить наименование признака дифференциации</v>
      </c>
      <c r="AV312" s="4030"/>
      <c r="AW312" s="4030"/>
      <c r="AX312" s="3916">
        <v>0</v>
      </c>
    </row>
    <row s="11662" customFormat="1" customHeight="1" ht="14.25">
      <c r="A313" s="4269"/>
      <c r="B313" s="4269"/>
      <c r="C313" s="4269"/>
      <c r="D313" s="4269"/>
      <c r="E313" s="4018"/>
      <c r="F313" s="4110" t="s">
        <v>156</v>
      </c>
      <c r="G313" s="4269"/>
      <c r="H313" s="4269"/>
      <c r="I313" s="4269"/>
      <c r="J313" s="4269"/>
      <c r="K313" s="4269"/>
      <c r="L313" s="4270"/>
      <c r="M313" s="4271"/>
      <c r="N313" s="4271"/>
      <c r="O313" s="3983"/>
      <c r="P313" s="4272"/>
      <c r="Q313" s="4273"/>
      <c r="R313" s="4272"/>
      <c r="S313" s="4274"/>
      <c r="T313" s="4275" t="s">
        <v>298</v>
      </c>
      <c r="U313" s="3971"/>
      <c r="V313" s="3971"/>
      <c r="W313" s="3971"/>
      <c r="X313" s="3971"/>
      <c r="Y313" s="3971"/>
      <c r="Z313" s="3971"/>
      <c r="AA313" s="3971"/>
      <c r="AB313" s="3971"/>
      <c r="AC313" s="3971"/>
      <c r="AD313" s="3971"/>
      <c r="AE313" s="3971"/>
      <c r="AF313" s="3971"/>
      <c r="AG313" s="3971"/>
      <c r="AH313" s="3971"/>
      <c r="AI313" s="3971"/>
      <c r="AJ313" s="3971"/>
      <c r="AK313" s="3971"/>
      <c r="AL313" s="3971"/>
      <c r="AM313" s="3971"/>
      <c r="AN313" s="3971"/>
      <c r="AO313" s="3971"/>
      <c r="AP313" s="3971"/>
      <c r="AQ313" s="3971"/>
      <c r="AR313" s="3971"/>
      <c r="AS313" s="3983"/>
      <c r="AT313" s="4030"/>
      <c r="AU313" s="4030" t="str">
        <f>IF(T313="","",T313)</f>
        <v>Добавить централизованную систему для дифференциации</v>
      </c>
      <c r="AV313" s="4030"/>
      <c r="AW313" s="4030"/>
      <c r="AX313" s="3983">
        <v>0</v>
      </c>
    </row>
    <row s="11663" customFormat="1" customHeight="1" ht="23.25">
      <c r="A314" s="4017"/>
      <c r="B314" s="4017" t="s">
        <v>342</v>
      </c>
      <c r="C314" s="4017"/>
      <c r="D314" s="4017"/>
      <c r="E314" s="4018"/>
      <c r="F314" s="4110" t="s">
        <v>166</v>
      </c>
      <c r="G314" s="4017"/>
      <c r="H314" s="4017"/>
      <c r="I314" s="4017"/>
      <c r="J314" s="4017"/>
      <c r="K314" s="4017"/>
      <c r="L314" s="4021"/>
      <c r="M314" s="4111"/>
      <c r="N314" s="4111"/>
      <c r="O314" s="4111"/>
      <c r="P314" s="4112"/>
      <c r="Q314" s="4113"/>
      <c r="R314" s="4114"/>
      <c r="S314" s="4026" t="str">
        <f>INDEX(PT_DIFFERENTIATION_NUM_TER,MATCH(B314,PT_DIFFERENTIATION_TER_ID,0))</f>
        <v>1.15</v>
      </c>
      <c r="T314" s="4115" t="s">
        <v>525</v>
      </c>
      <c r="U314" s="4028"/>
      <c r="V314" s="3918"/>
      <c r="W314" s="3919"/>
      <c r="X314" s="3919"/>
      <c r="Y314" s="3919"/>
      <c r="Z314" s="3919"/>
      <c r="AA314" s="3919"/>
      <c r="AB314" s="3920"/>
      <c r="AC314" s="3918" t="str">
        <f>INDEX(PT_DIFFERENTIATION_TER,MATCH(B314,PT_DIFFERENTIATION_TER_ID,0))</f>
        <v>Территория 15</v>
      </c>
      <c r="AD314" s="3919"/>
      <c r="AE314" s="3919"/>
      <c r="AF314" s="3919"/>
      <c r="AG314" s="3919"/>
      <c r="AH314" s="3919"/>
      <c r="AI314" s="3919"/>
      <c r="AJ314" s="3918"/>
      <c r="AK314" s="3919"/>
      <c r="AL314" s="3919"/>
      <c r="AM314" s="3919"/>
      <c r="AN314" s="3919"/>
      <c r="AO314" s="3919"/>
      <c r="AP314" s="3920"/>
      <c r="AQ314" s="3920"/>
      <c r="AR314" s="4065" t="s">
        <v>526</v>
      </c>
      <c r="AS314" s="3983"/>
      <c r="AT314" s="4030"/>
      <c r="AU314" s="4030" t="str">
        <f>IF(T314="","",T314)</f>
        <v>Территория действия тарифа</v>
      </c>
      <c r="AV314" s="4030"/>
      <c r="AW314" s="4030"/>
      <c r="AX314" s="3916">
        <v>0</v>
      </c>
    </row>
    <row s="11664" customFormat="1" customHeight="1" ht="23.25">
      <c r="A315" s="4017"/>
      <c r="B315" s="4017"/>
      <c r="C315" s="4017" t="s">
        <v>343</v>
      </c>
      <c r="D315" s="4017"/>
      <c r="E315" s="4018"/>
      <c r="F315" s="4018" t="s">
        <v>161</v>
      </c>
      <c r="G315" s="4110">
        <v>1</v>
      </c>
      <c r="H315" s="4017"/>
      <c r="I315" s="4017"/>
      <c r="J315" s="4017"/>
      <c r="K315" s="4017"/>
      <c r="L315" s="4021"/>
      <c r="M315" s="4111"/>
      <c r="N315" s="4111"/>
      <c r="O315" s="4111"/>
      <c r="P315" s="4117"/>
      <c r="Q315" s="4113"/>
      <c r="R315" s="4114"/>
      <c r="S315" s="4026" t="str">
        <f>INDEX(PT_DIFFERENTIATION_NUM_CS,MATCH(C315,PT_DIFFERENTIATION_CS_ID,0))</f>
        <v>1.15.1</v>
      </c>
      <c r="T315" s="4118" t="s">
        <v>606</v>
      </c>
      <c r="U315" s="4028"/>
      <c r="V315" s="3918"/>
      <c r="W315" s="3919"/>
      <c r="X315" s="3919"/>
      <c r="Y315" s="3919"/>
      <c r="Z315" s="3919"/>
      <c r="AA315" s="3919"/>
      <c r="AB315" s="3920"/>
      <c r="AC315" s="3918" t="str">
        <f>INDEX(PT_DIFFERENTIATION_CS,MATCH(C315,PT_DIFFERENTIATION_CS_ID,0))</f>
        <v>без дифференциации</v>
      </c>
      <c r="AD315" s="3919"/>
      <c r="AE315" s="3919"/>
      <c r="AF315" s="3919"/>
      <c r="AG315" s="3919"/>
      <c r="AH315" s="3919"/>
      <c r="AI315" s="3919"/>
      <c r="AJ315" s="3918"/>
      <c r="AK315" s="3919"/>
      <c r="AL315" s="3919"/>
      <c r="AM315" s="3919"/>
      <c r="AN315" s="3919"/>
      <c r="AO315" s="3919"/>
      <c r="AP315" s="3920"/>
      <c r="AQ315" s="3920"/>
      <c r="AR315" s="4065" t="s">
        <v>607</v>
      </c>
      <c r="AS315" s="3983"/>
      <c r="AT315" s="4030"/>
      <c r="AU315" s="4030" t="str">
        <f>IF(T315="","",T315)</f>
        <v>Наименование централизованной системы холодного водоснабжения</v>
      </c>
      <c r="AV315" s="4030"/>
      <c r="AW315" s="4030"/>
      <c r="AX315" s="3916">
        <v>0</v>
      </c>
    </row>
    <row s="11665" customFormat="1" customHeight="1" ht="23.25">
      <c r="A316" s="4017"/>
      <c r="B316" s="4017"/>
      <c r="C316" s="4017"/>
      <c r="D316" s="4017"/>
      <c r="E316" s="4018"/>
      <c r="F316" s="4018" t="s">
        <v>161</v>
      </c>
      <c r="G316" s="4018"/>
      <c r="H316" s="4018"/>
      <c r="I316" s="4020" t="str">
        <f>S315&amp;".1"</f>
        <v>1.15.1.1</v>
      </c>
      <c r="J316" s="4017"/>
      <c r="K316" s="4017"/>
      <c r="L316" s="4021"/>
      <c r="M316" s="4022"/>
      <c r="N316" s="4022"/>
      <c r="O316" s="4022"/>
      <c r="P316" s="4023">
        <v>1</v>
      </c>
      <c r="Q316" s="4023"/>
      <c r="R316" s="4039"/>
      <c r="S316" s="4026" t="str">
        <f>$I316</f>
        <v>1.15.1.1</v>
      </c>
      <c r="T316" s="4120" t="s">
        <v>608</v>
      </c>
      <c r="U316" s="4028"/>
      <c r="V316" s="3928"/>
      <c r="W316" s="3929"/>
      <c r="X316" s="3929"/>
      <c r="Y316" s="3929"/>
      <c r="Z316" s="3929"/>
      <c r="AA316" s="3929"/>
      <c r="AB316" s="3930"/>
      <c r="AC316" s="4121"/>
      <c r="AD316" s="4122"/>
      <c r="AE316" s="4122"/>
      <c r="AF316" s="4122"/>
      <c r="AG316" s="4122"/>
      <c r="AH316" s="4122"/>
      <c r="AI316" s="4122"/>
      <c r="AJ316" s="3928"/>
      <c r="AK316" s="3929"/>
      <c r="AL316" s="3929"/>
      <c r="AM316" s="3929"/>
      <c r="AN316" s="3929"/>
      <c r="AO316" s="3929"/>
      <c r="AP316" s="3930"/>
      <c r="AQ316" s="4123"/>
      <c r="AR316" s="4065" t="s">
        <v>609</v>
      </c>
      <c r="AS316" s="3983"/>
      <c r="AT316" s="4030"/>
      <c r="AU316" s="4030" t="str">
        <f>IF(T316="","",T316)</f>
        <v>Наименование признака дифференциации</v>
      </c>
      <c r="AV316" s="4030"/>
      <c r="AW316" s="4030"/>
      <c r="AX316" s="3916">
        <v>0</v>
      </c>
    </row>
    <row s="11666" customFormat="1" customHeight="1" ht="23.25">
      <c r="A317" s="4017"/>
      <c r="B317" s="4017"/>
      <c r="C317" s="4017"/>
      <c r="D317" s="4017"/>
      <c r="E317" s="4018"/>
      <c r="F317" s="4018" t="s">
        <v>161</v>
      </c>
      <c r="G317" s="4018"/>
      <c r="H317" s="4018"/>
      <c r="I317" s="4019"/>
      <c r="J317" s="4020" t="str">
        <f>I316&amp;".1"</f>
        <v>1.15.1.1.1</v>
      </c>
      <c r="K317" s="4017"/>
      <c r="L317" s="4021" t="s">
        <v>534</v>
      </c>
      <c r="M317" s="4022"/>
      <c r="N317" s="4022"/>
      <c r="O317" s="4022"/>
      <c r="P317" s="4023"/>
      <c r="Q317" s="4023">
        <v>1</v>
      </c>
      <c r="R317" s="4025"/>
      <c r="S317" s="4026" t="str">
        <f>$J317</f>
        <v>1.15.1.1.1</v>
      </c>
      <c r="T317" s="4027" t="s">
        <v>535</v>
      </c>
      <c r="U317" s="4028"/>
      <c r="V317" s="3932"/>
      <c r="W317" s="3933"/>
      <c r="X317" s="3933"/>
      <c r="Y317" s="3933"/>
      <c r="Z317" s="3933"/>
      <c r="AA317" s="3933"/>
      <c r="AB317" s="3934"/>
      <c r="AC317" s="3932" t="s">
        <v>621</v>
      </c>
      <c r="AD317" s="3933"/>
      <c r="AE317" s="3933"/>
      <c r="AF317" s="3933"/>
      <c r="AG317" s="3933"/>
      <c r="AH317" s="3933"/>
      <c r="AI317" s="3933"/>
      <c r="AJ317" s="3932"/>
      <c r="AK317" s="3933"/>
      <c r="AL317" s="3933"/>
      <c r="AM317" s="3933"/>
      <c r="AN317" s="3933"/>
      <c r="AO317" s="3933"/>
      <c r="AP317" s="3934"/>
      <c r="AQ317" s="3934"/>
      <c r="AR317" s="4029" t="s">
        <v>610</v>
      </c>
      <c r="AS317" s="3983"/>
      <c r="AT317" s="4030"/>
      <c r="AU317" s="4030" t="str">
        <f>IF(T317="","",T317)</f>
        <v>Группа потребителей</v>
      </c>
      <c r="AV317" s="4030"/>
      <c r="AW317" s="4030"/>
      <c r="AX317" s="3916">
        <v>0</v>
      </c>
    </row>
    <row s="11667" customFormat="1" customHeight="1" ht="23.25">
      <c r="A318" s="4017"/>
      <c r="B318" s="4017"/>
      <c r="C318" s="4017"/>
      <c r="D318" s="4017"/>
      <c r="E318" s="4018"/>
      <c r="F318" s="4018" t="s">
        <v>161</v>
      </c>
      <c r="G318" s="4018"/>
      <c r="H318" s="4018"/>
      <c r="I318" s="4019"/>
      <c r="J318" s="4019"/>
      <c r="K318" s="4020" t="str">
        <f>J317&amp;".1"</f>
        <v>1.15.1.1.1.1</v>
      </c>
      <c r="L318" s="4021"/>
      <c r="M318" s="4022"/>
      <c r="N318" s="4022"/>
      <c r="O318" s="4022"/>
      <c r="P318" s="4023"/>
      <c r="Q318" s="4023"/>
      <c r="R318" s="4025">
        <v>1</v>
      </c>
      <c r="S318" s="4026" t="str">
        <f>$K318</f>
        <v>1.15.1.1.1.1</v>
      </c>
      <c r="T318" s="4032"/>
      <c r="U318" s="4028"/>
      <c r="V318" s="3936"/>
      <c r="W318" s="3936"/>
      <c r="X318" s="3937"/>
      <c r="Y318" s="3938"/>
      <c r="Z318" s="3939" t="s">
        <v>66</v>
      </c>
      <c r="AA318" s="3938"/>
      <c r="AB318" s="3939" t="s">
        <v>66</v>
      </c>
      <c r="AC318" s="3936">
        <v>42.88</v>
      </c>
      <c r="AD318" s="3936"/>
      <c r="AE318" s="3937"/>
      <c r="AF318" s="3938">
        <v>45658</v>
      </c>
      <c r="AG318" s="3939" t="s">
        <v>66</v>
      </c>
      <c r="AH318" s="4006">
        <v>45838</v>
      </c>
      <c r="AI318" s="3939" t="s">
        <v>66</v>
      </c>
      <c r="AJ318" s="3936">
        <v>46.31</v>
      </c>
      <c r="AK318" s="3936"/>
      <c r="AL318" s="3937"/>
      <c r="AM318" s="3938">
        <v>45839</v>
      </c>
      <c r="AN318" s="3939" t="s">
        <v>66</v>
      </c>
      <c r="AO318" s="3938">
        <v>46022</v>
      </c>
      <c r="AP318" s="3939" t="s">
        <v>66</v>
      </c>
      <c r="AQ318" s="4033"/>
      <c r="AR318" s="4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318" s="3983">
        <f>STRCHECKDATE(V319:AQ319)</f>
      </c>
      <c r="AT318" s="4030"/>
      <c r="AU318" s="4030" t="str">
        <f>IF(T318="","",T318)</f>
        <v/>
      </c>
      <c r="AV318" s="4030"/>
      <c r="AW318" s="4030"/>
      <c r="AX318" s="3916">
        <v>0</v>
      </c>
    </row>
    <row s="11668" customFormat="1" customHeight="1" ht="14.25">
      <c r="A319" s="4017"/>
      <c r="B319" s="4017"/>
      <c r="C319" s="4017"/>
      <c r="D319" s="4017"/>
      <c r="E319" s="4018"/>
      <c r="F319" s="4018" t="s">
        <v>161</v>
      </c>
      <c r="G319" s="4018"/>
      <c r="H319" s="4018"/>
      <c r="I319" s="4019"/>
      <c r="J319" s="4019"/>
      <c r="K319" s="4020"/>
      <c r="L319" s="4021"/>
      <c r="M319" s="4022"/>
      <c r="N319" s="4022"/>
      <c r="O319" s="4022"/>
      <c r="P319" s="4023"/>
      <c r="Q319" s="4023"/>
      <c r="R319" s="4025"/>
      <c r="S319" s="4036"/>
      <c r="T319" s="4028"/>
      <c r="U319" s="4028"/>
      <c r="V319" s="3943"/>
      <c r="W319" s="3943"/>
      <c r="X319" s="3944" t="str">
        <f>Y318&amp;"-"&amp;AA318</f>
        <v>-</v>
      </c>
      <c r="Y319" s="3945"/>
      <c r="Z319" s="3939"/>
      <c r="AA319" s="3945"/>
      <c r="AB319" s="3939"/>
      <c r="AC319" s="3943"/>
      <c r="AD319" s="3943"/>
      <c r="AE319" s="3944" t="str">
        <f>AF318&amp;"-"&amp;AH318</f>
        <v>45658-45838</v>
      </c>
      <c r="AF319" s="3945"/>
      <c r="AG319" s="3939"/>
      <c r="AH319" s="4008"/>
      <c r="AI319" s="3939"/>
      <c r="AJ319" s="3943"/>
      <c r="AK319" s="3943"/>
      <c r="AL319" s="3944" t="str">
        <f>AM318&amp;"-"&amp;AO318</f>
        <v>45839-46022</v>
      </c>
      <c r="AM319" s="3945"/>
      <c r="AN319" s="3939"/>
      <c r="AO319" s="3945"/>
      <c r="AP319" s="3939"/>
      <c r="AQ319" s="4037"/>
      <c r="AR319" s="4034"/>
      <c r="AS319" s="3983"/>
      <c r="AT319" s="4030"/>
      <c r="AU319" s="4030" t="str">
        <f>IF(T319="","",T319)</f>
        <v/>
      </c>
      <c r="AV319" s="4030"/>
      <c r="AW319" s="4030"/>
      <c r="AX319" s="3916">
        <v>0</v>
      </c>
    </row>
    <row s="11669" customFormat="1" customHeight="1" ht="21">
      <c r="A320" s="4017"/>
      <c r="B320" s="4017"/>
      <c r="C320" s="4017"/>
      <c r="D320" s="4017"/>
      <c r="E320" s="4018"/>
      <c r="F320" s="4018" t="s">
        <v>161</v>
      </c>
      <c r="G320" s="4018"/>
      <c r="H320" s="4018"/>
      <c r="I320" s="4019"/>
      <c r="J320" s="4020"/>
      <c r="K320" s="4017"/>
      <c r="L320" s="4021"/>
      <c r="M320" s="4022"/>
      <c r="N320" s="4022"/>
      <c r="O320" s="4022"/>
      <c r="P320" s="4023"/>
      <c r="Q320" s="4023"/>
      <c r="R320" s="4039"/>
      <c r="S320" s="6195"/>
      <c r="T320" s="6196" t="s">
        <v>611</v>
      </c>
      <c r="U320" s="6197"/>
      <c r="V320" s="6198"/>
      <c r="W320" s="6199"/>
      <c r="X320" s="6200"/>
      <c r="Y320" s="6201"/>
      <c r="Z320" s="6202"/>
      <c r="AA320" s="6203"/>
      <c r="AB320" s="6204"/>
      <c r="AC320" s="6205"/>
      <c r="AD320" s="6206"/>
      <c r="AE320" s="6207"/>
      <c r="AF320" s="6208"/>
      <c r="AG320" s="6209"/>
      <c r="AH320" s="6210"/>
      <c r="AI320" s="6211"/>
      <c r="AJ320" s="6212"/>
      <c r="AK320" s="6213"/>
      <c r="AL320" s="6214"/>
      <c r="AM320" s="6215"/>
      <c r="AN320" s="6216"/>
      <c r="AO320" s="6217"/>
      <c r="AP320" s="6218"/>
      <c r="AQ320" s="6219"/>
      <c r="AR320" s="4065" t="s">
        <v>612</v>
      </c>
      <c r="AS320" s="3983"/>
      <c r="AT320" s="4030"/>
      <c r="AU320" s="4030" t="str">
        <f>IF(T320="","",T320)</f>
        <v>Добавить значение признака дифференциации</v>
      </c>
      <c r="AV320" s="4030"/>
      <c r="AW320" s="4030"/>
      <c r="AX320" s="3916">
        <v>0</v>
      </c>
    </row>
    <row s="11695" customFormat="1" customHeight="1" ht="23.25">
      <c r="A321" s="4017"/>
      <c r="B321" s="4017"/>
      <c r="C321" s="4017"/>
      <c r="D321" s="4017"/>
      <c r="E321" s="4018"/>
      <c r="F321" s="4018"/>
      <c r="G321" s="4018"/>
      <c r="H321" s="4018"/>
      <c r="I321" s="4019"/>
      <c r="J321" s="4020" t="str">
        <f>I316&amp;".2"</f>
        <v>1.15.1.1.2</v>
      </c>
      <c r="K321" s="4017"/>
      <c r="L321" s="4021" t="s">
        <v>534</v>
      </c>
      <c r="M321" s="4022"/>
      <c r="N321" s="4022"/>
      <c r="O321" s="4022"/>
      <c r="P321" s="4023"/>
      <c r="Q321" s="4024" t="s">
        <v>105</v>
      </c>
      <c r="R321" s="4025"/>
      <c r="S321" s="4026" t="str">
        <f>$J321</f>
        <v>1.15.1.1.2</v>
      </c>
      <c r="T321" s="4027" t="s">
        <v>535</v>
      </c>
      <c r="U321" s="4028"/>
      <c r="V321" s="3932"/>
      <c r="W321" s="3933"/>
      <c r="X321" s="3933"/>
      <c r="Y321" s="3933"/>
      <c r="Z321" s="3933"/>
      <c r="AA321" s="3933"/>
      <c r="AB321" s="3934"/>
      <c r="AC321" s="3932" t="s">
        <v>622</v>
      </c>
      <c r="AD321" s="3933"/>
      <c r="AE321" s="3933"/>
      <c r="AF321" s="3933"/>
      <c r="AG321" s="3933"/>
      <c r="AH321" s="3933"/>
      <c r="AI321" s="3933"/>
      <c r="AJ321" s="3932"/>
      <c r="AK321" s="3933"/>
      <c r="AL321" s="3933"/>
      <c r="AM321" s="3933"/>
      <c r="AN321" s="3933"/>
      <c r="AO321" s="3933"/>
      <c r="AP321" s="3934"/>
      <c r="AQ321" s="3934"/>
      <c r="AR321" s="4029" t="s">
        <v>610</v>
      </c>
      <c r="AS321" s="3983"/>
      <c r="AT321" s="4030"/>
      <c r="AU321" s="4030" t="str">
        <f>IF(T321="","",T321)</f>
        <v>Группа потребителей</v>
      </c>
      <c r="AV321" s="4030"/>
      <c r="AW321" s="4030"/>
      <c r="AX321" s="3916">
        <v>0</v>
      </c>
    </row>
    <row s="11696" customFormat="1" customHeight="1" ht="23.25">
      <c r="A322" s="4017"/>
      <c r="B322" s="4017"/>
      <c r="C322" s="4017"/>
      <c r="D322" s="4017"/>
      <c r="E322" s="4018"/>
      <c r="F322" s="4018"/>
      <c r="G322" s="4018"/>
      <c r="H322" s="4018"/>
      <c r="I322" s="4019"/>
      <c r="J322" s="4019" t="str">
        <f>I316&amp;".1"</f>
        <v>1.15.1.1.1</v>
      </c>
      <c r="K322" s="4020" t="str">
        <f>J321&amp;".1"</f>
        <v>1.15.1.1.2.1</v>
      </c>
      <c r="L322" s="4021"/>
      <c r="M322" s="4022"/>
      <c r="N322" s="4022"/>
      <c r="O322" s="4022"/>
      <c r="P322" s="4023"/>
      <c r="Q322" s="4023"/>
      <c r="R322" s="4025">
        <v>1</v>
      </c>
      <c r="S322" s="4026" t="str">
        <f>$K322</f>
        <v>1.15.1.1.2.1</v>
      </c>
      <c r="T322" s="4032"/>
      <c r="U322" s="4028"/>
      <c r="V322" s="3936"/>
      <c r="W322" s="3936"/>
      <c r="X322" s="3937"/>
      <c r="Y322" s="3938"/>
      <c r="Z322" s="3939" t="s">
        <v>66</v>
      </c>
      <c r="AA322" s="3938"/>
      <c r="AB322" s="3939" t="s">
        <v>66</v>
      </c>
      <c r="AC322" s="3936">
        <v>54.69</v>
      </c>
      <c r="AD322" s="3936"/>
      <c r="AE322" s="3937"/>
      <c r="AF322" s="3938">
        <v>45658</v>
      </c>
      <c r="AG322" s="3939" t="s">
        <v>66</v>
      </c>
      <c r="AH322" s="4006">
        <v>45838</v>
      </c>
      <c r="AI322" s="3939" t="s">
        <v>66</v>
      </c>
      <c r="AJ322" s="3936">
        <v>102.47</v>
      </c>
      <c r="AK322" s="3936"/>
      <c r="AL322" s="3937"/>
      <c r="AM322" s="3938">
        <v>45839</v>
      </c>
      <c r="AN322" s="3939" t="s">
        <v>66</v>
      </c>
      <c r="AO322" s="3938">
        <v>46022</v>
      </c>
      <c r="AP322" s="3939" t="s">
        <v>66</v>
      </c>
      <c r="AQ322" s="4033"/>
      <c r="AR322" s="4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322" s="3983">
        <f>STRCHECKDATE(V323:AQ323)</f>
      </c>
      <c r="AT322" s="4030"/>
      <c r="AU322" s="4030" t="str">
        <f>IF(T322="","",T322)</f>
        <v/>
      </c>
      <c r="AV322" s="4030"/>
      <c r="AW322" s="4030"/>
      <c r="AX322" s="3916">
        <v>0</v>
      </c>
    </row>
    <row s="11697" customFormat="1" customHeight="1" ht="14.25">
      <c r="A323" s="4017"/>
      <c r="B323" s="4017"/>
      <c r="C323" s="4017"/>
      <c r="D323" s="4017"/>
      <c r="E323" s="4018"/>
      <c r="F323" s="4018"/>
      <c r="G323" s="4018"/>
      <c r="H323" s="4018"/>
      <c r="I323" s="4019"/>
      <c r="J323" s="4019" t="str">
        <f>I316&amp;".1"</f>
        <v>1.15.1.1.1</v>
      </c>
      <c r="K323" s="4020"/>
      <c r="L323" s="4021"/>
      <c r="M323" s="4022"/>
      <c r="N323" s="4022"/>
      <c r="O323" s="4022"/>
      <c r="P323" s="4023"/>
      <c r="Q323" s="4023"/>
      <c r="R323" s="4025"/>
      <c r="S323" s="4036"/>
      <c r="T323" s="4028"/>
      <c r="U323" s="4028"/>
      <c r="V323" s="3943"/>
      <c r="W323" s="3943"/>
      <c r="X323" s="3944" t="str">
        <f>Y322&amp;"-"&amp;AA322</f>
        <v>-</v>
      </c>
      <c r="Y323" s="3945"/>
      <c r="Z323" s="3939"/>
      <c r="AA323" s="3945"/>
      <c r="AB323" s="3939"/>
      <c r="AC323" s="3943"/>
      <c r="AD323" s="3943"/>
      <c r="AE323" s="3944" t="str">
        <f>AF322&amp;"-"&amp;AH322</f>
        <v>45658-45838</v>
      </c>
      <c r="AF323" s="3945"/>
      <c r="AG323" s="3939"/>
      <c r="AH323" s="4008"/>
      <c r="AI323" s="3939"/>
      <c r="AJ323" s="3943"/>
      <c r="AK323" s="3943"/>
      <c r="AL323" s="3944" t="str">
        <f>AM322&amp;"-"&amp;AO322</f>
        <v>45839-46022</v>
      </c>
      <c r="AM323" s="3945"/>
      <c r="AN323" s="3939"/>
      <c r="AO323" s="3945"/>
      <c r="AP323" s="3939"/>
      <c r="AQ323" s="4037"/>
      <c r="AR323" s="4034"/>
      <c r="AS323" s="3983"/>
      <c r="AT323" s="4030"/>
      <c r="AU323" s="4030" t="str">
        <f>IF(T323="","",T323)</f>
        <v/>
      </c>
      <c r="AV323" s="4030"/>
      <c r="AW323" s="4030"/>
      <c r="AX323" s="3916">
        <v>0</v>
      </c>
    </row>
    <row s="11698" customFormat="1" customHeight="1" ht="21">
      <c r="A324" s="4017"/>
      <c r="B324" s="4017"/>
      <c r="C324" s="4017"/>
      <c r="D324" s="4017"/>
      <c r="E324" s="4018"/>
      <c r="F324" s="4018"/>
      <c r="G324" s="4018"/>
      <c r="H324" s="4018"/>
      <c r="I324" s="4019"/>
      <c r="J324" s="4020" t="str">
        <f>I316&amp;".1"</f>
        <v>1.15.1.1.1</v>
      </c>
      <c r="K324" s="4017"/>
      <c r="L324" s="4021"/>
      <c r="M324" s="4022"/>
      <c r="N324" s="4022"/>
      <c r="O324" s="4022"/>
      <c r="P324" s="4023"/>
      <c r="Q324" s="4023"/>
      <c r="R324" s="4039"/>
      <c r="S324" s="6224"/>
      <c r="T324" s="6225" t="s">
        <v>611</v>
      </c>
      <c r="U324" s="6226"/>
      <c r="V324" s="6227"/>
      <c r="W324" s="6228"/>
      <c r="X324" s="6229"/>
      <c r="Y324" s="6230"/>
      <c r="Z324" s="6231"/>
      <c r="AA324" s="6232"/>
      <c r="AB324" s="6233"/>
      <c r="AC324" s="6234"/>
      <c r="AD324" s="6235"/>
      <c r="AE324" s="6236"/>
      <c r="AF324" s="6237"/>
      <c r="AG324" s="6238"/>
      <c r="AH324" s="6239"/>
      <c r="AI324" s="6240"/>
      <c r="AJ324" s="6241"/>
      <c r="AK324" s="6242"/>
      <c r="AL324" s="6243"/>
      <c r="AM324" s="6244"/>
      <c r="AN324" s="6245"/>
      <c r="AO324" s="6246"/>
      <c r="AP324" s="6247"/>
      <c r="AQ324" s="6248"/>
      <c r="AR324" s="4065" t="s">
        <v>612</v>
      </c>
      <c r="AS324" s="3983"/>
      <c r="AT324" s="4030"/>
      <c r="AU324" s="4030" t="str">
        <f>IF(T324="","",T324)</f>
        <v>Добавить значение признака дифференциации</v>
      </c>
      <c r="AV324" s="4030"/>
      <c r="AW324" s="4030"/>
      <c r="AX324" s="3916">
        <v>0</v>
      </c>
    </row>
    <row s="11724" customFormat="1" customHeight="1" ht="23.25">
      <c r="A325" s="4017"/>
      <c r="B325" s="4017"/>
      <c r="C325" s="4017"/>
      <c r="D325" s="4017"/>
      <c r="E325" s="4018"/>
      <c r="F325" s="4018"/>
      <c r="G325" s="4018"/>
      <c r="H325" s="4018"/>
      <c r="I325" s="4019"/>
      <c r="J325" s="4020" t="str">
        <f>I316&amp;".3"</f>
        <v>1.15.1.1.3</v>
      </c>
      <c r="K325" s="4017"/>
      <c r="L325" s="4021" t="s">
        <v>534</v>
      </c>
      <c r="M325" s="4022"/>
      <c r="N325" s="4022"/>
      <c r="O325" s="4022"/>
      <c r="P325" s="4023"/>
      <c r="Q325" s="4024" t="s">
        <v>105</v>
      </c>
      <c r="R325" s="4025"/>
      <c r="S325" s="4026" t="str">
        <f>$J325</f>
        <v>1.15.1.1.3</v>
      </c>
      <c r="T325" s="4027" t="s">
        <v>535</v>
      </c>
      <c r="U325" s="4028"/>
      <c r="V325" s="3932"/>
      <c r="W325" s="3933"/>
      <c r="X325" s="3933"/>
      <c r="Y325" s="3933"/>
      <c r="Z325" s="3933"/>
      <c r="AA325" s="3933"/>
      <c r="AB325" s="3934"/>
      <c r="AC325" s="3932" t="s">
        <v>623</v>
      </c>
      <c r="AD325" s="3933"/>
      <c r="AE325" s="3933"/>
      <c r="AF325" s="3933"/>
      <c r="AG325" s="3933"/>
      <c r="AH325" s="3933"/>
      <c r="AI325" s="3933"/>
      <c r="AJ325" s="3932"/>
      <c r="AK325" s="3933"/>
      <c r="AL325" s="3933"/>
      <c r="AM325" s="3933"/>
      <c r="AN325" s="3933"/>
      <c r="AO325" s="3933"/>
      <c r="AP325" s="3934"/>
      <c r="AQ325" s="3934"/>
      <c r="AR325" s="4029" t="s">
        <v>610</v>
      </c>
      <c r="AS325" s="3983"/>
      <c r="AT325" s="4030"/>
      <c r="AU325" s="4030" t="str">
        <f>IF(T325="","",T325)</f>
        <v>Группа потребителей</v>
      </c>
      <c r="AV325" s="4030"/>
      <c r="AW325" s="4030"/>
      <c r="AX325" s="3916">
        <v>0</v>
      </c>
    </row>
    <row s="11725" customFormat="1" customHeight="1" ht="23.25">
      <c r="A326" s="4017"/>
      <c r="B326" s="4017"/>
      <c r="C326" s="4017"/>
      <c r="D326" s="4017"/>
      <c r="E326" s="4018"/>
      <c r="F326" s="4018"/>
      <c r="G326" s="4018"/>
      <c r="H326" s="4018"/>
      <c r="I326" s="4019"/>
      <c r="J326" s="4019" t="str">
        <f>I316&amp;".2"</f>
        <v>1.15.1.1.2</v>
      </c>
      <c r="K326" s="4020" t="str">
        <f>J325&amp;".1"</f>
        <v>1.15.1.1.3.1</v>
      </c>
      <c r="L326" s="4021"/>
      <c r="M326" s="4022"/>
      <c r="N326" s="4022"/>
      <c r="O326" s="4022"/>
      <c r="P326" s="4023"/>
      <c r="Q326" s="4023"/>
      <c r="R326" s="4025">
        <v>1</v>
      </c>
      <c r="S326" s="4026" t="str">
        <f>$K326</f>
        <v>1.15.1.1.3.1</v>
      </c>
      <c r="T326" s="4032"/>
      <c r="U326" s="4028"/>
      <c r="V326" s="3936"/>
      <c r="W326" s="3936"/>
      <c r="X326" s="3937"/>
      <c r="Y326" s="3938"/>
      <c r="Z326" s="3939" t="s">
        <v>66</v>
      </c>
      <c r="AA326" s="3938"/>
      <c r="AB326" s="3939" t="s">
        <v>66</v>
      </c>
      <c r="AC326" s="3936">
        <v>54.69</v>
      </c>
      <c r="AD326" s="3936"/>
      <c r="AE326" s="3937"/>
      <c r="AF326" s="3938">
        <v>45658</v>
      </c>
      <c r="AG326" s="3939" t="s">
        <v>66</v>
      </c>
      <c r="AH326" s="4006">
        <v>45838</v>
      </c>
      <c r="AI326" s="3939" t="s">
        <v>66</v>
      </c>
      <c r="AJ326" s="3936">
        <v>102.47</v>
      </c>
      <c r="AK326" s="3936"/>
      <c r="AL326" s="3937"/>
      <c r="AM326" s="3938">
        <v>45839</v>
      </c>
      <c r="AN326" s="3939" t="s">
        <v>66</v>
      </c>
      <c r="AO326" s="3938">
        <v>46022</v>
      </c>
      <c r="AP326" s="3939" t="s">
        <v>66</v>
      </c>
      <c r="AQ326" s="4033"/>
      <c r="AR326" s="4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326" s="3983">
        <f>STRCHECKDATE(V327:AQ327)</f>
      </c>
      <c r="AT326" s="4030"/>
      <c r="AU326" s="4030" t="str">
        <f>IF(T326="","",T326)</f>
        <v/>
      </c>
      <c r="AV326" s="4030"/>
      <c r="AW326" s="4030"/>
      <c r="AX326" s="3916">
        <v>0</v>
      </c>
    </row>
    <row s="11726" customFormat="1" customHeight="1" ht="14.25">
      <c r="A327" s="4017"/>
      <c r="B327" s="4017"/>
      <c r="C327" s="4017"/>
      <c r="D327" s="4017"/>
      <c r="E327" s="4018"/>
      <c r="F327" s="4018"/>
      <c r="G327" s="4018"/>
      <c r="H327" s="4018"/>
      <c r="I327" s="4019"/>
      <c r="J327" s="4019" t="str">
        <f>I316&amp;".2"</f>
        <v>1.15.1.1.2</v>
      </c>
      <c r="K327" s="4020"/>
      <c r="L327" s="4021"/>
      <c r="M327" s="4022"/>
      <c r="N327" s="4022"/>
      <c r="O327" s="4022"/>
      <c r="P327" s="4023"/>
      <c r="Q327" s="4023"/>
      <c r="R327" s="4025"/>
      <c r="S327" s="4036"/>
      <c r="T327" s="4028"/>
      <c r="U327" s="4028"/>
      <c r="V327" s="3943"/>
      <c r="W327" s="3943"/>
      <c r="X327" s="3944" t="str">
        <f>Y326&amp;"-"&amp;AA326</f>
        <v>-</v>
      </c>
      <c r="Y327" s="3945"/>
      <c r="Z327" s="3939"/>
      <c r="AA327" s="3945"/>
      <c r="AB327" s="3939"/>
      <c r="AC327" s="3943"/>
      <c r="AD327" s="3943"/>
      <c r="AE327" s="3944" t="str">
        <f>AF326&amp;"-"&amp;AH326</f>
        <v>45658-45838</v>
      </c>
      <c r="AF327" s="3945"/>
      <c r="AG327" s="3939"/>
      <c r="AH327" s="4008"/>
      <c r="AI327" s="3939"/>
      <c r="AJ327" s="3943"/>
      <c r="AK327" s="3943"/>
      <c r="AL327" s="3944" t="str">
        <f>AM326&amp;"-"&amp;AO326</f>
        <v>45839-46022</v>
      </c>
      <c r="AM327" s="3945"/>
      <c r="AN327" s="3939"/>
      <c r="AO327" s="3945"/>
      <c r="AP327" s="3939"/>
      <c r="AQ327" s="4037"/>
      <c r="AR327" s="4034"/>
      <c r="AS327" s="3983"/>
      <c r="AT327" s="4030"/>
      <c r="AU327" s="4030" t="str">
        <f>IF(T327="","",T327)</f>
        <v/>
      </c>
      <c r="AV327" s="4030"/>
      <c r="AW327" s="4030"/>
      <c r="AX327" s="3916">
        <v>0</v>
      </c>
    </row>
    <row s="11727" customFormat="1" customHeight="1" ht="21">
      <c r="A328" s="4017"/>
      <c r="B328" s="4017"/>
      <c r="C328" s="4017"/>
      <c r="D328" s="4017"/>
      <c r="E328" s="4018"/>
      <c r="F328" s="4018"/>
      <c r="G328" s="4018"/>
      <c r="H328" s="4018"/>
      <c r="I328" s="4019"/>
      <c r="J328" s="4020" t="str">
        <f>I316&amp;".2"</f>
        <v>1.15.1.1.2</v>
      </c>
      <c r="K328" s="4017"/>
      <c r="L328" s="4021"/>
      <c r="M328" s="4022"/>
      <c r="N328" s="4022"/>
      <c r="O328" s="4022"/>
      <c r="P328" s="4023"/>
      <c r="Q328" s="4023"/>
      <c r="R328" s="4039"/>
      <c r="S328" s="6253"/>
      <c r="T328" s="6254" t="s">
        <v>611</v>
      </c>
      <c r="U328" s="6255"/>
      <c r="V328" s="6256"/>
      <c r="W328" s="6257"/>
      <c r="X328" s="6258"/>
      <c r="Y328" s="6259"/>
      <c r="Z328" s="6260"/>
      <c r="AA328" s="6261"/>
      <c r="AB328" s="6262"/>
      <c r="AC328" s="6263"/>
      <c r="AD328" s="6264"/>
      <c r="AE328" s="6265"/>
      <c r="AF328" s="6266"/>
      <c r="AG328" s="6267"/>
      <c r="AH328" s="6268"/>
      <c r="AI328" s="6269"/>
      <c r="AJ328" s="6270"/>
      <c r="AK328" s="6271"/>
      <c r="AL328" s="6272"/>
      <c r="AM328" s="6273"/>
      <c r="AN328" s="6274"/>
      <c r="AO328" s="6275"/>
      <c r="AP328" s="6276"/>
      <c r="AQ328" s="6277"/>
      <c r="AR328" s="4065" t="s">
        <v>612</v>
      </c>
      <c r="AS328" s="3983"/>
      <c r="AT328" s="4030"/>
      <c r="AU328" s="4030" t="str">
        <f>IF(T328="","",T328)</f>
        <v>Добавить значение признака дифференциации</v>
      </c>
      <c r="AV328" s="4030"/>
      <c r="AW328" s="4030"/>
      <c r="AX328" s="3916">
        <v>0</v>
      </c>
    </row>
    <row s="11753" customFormat="1" customHeight="1" ht="21">
      <c r="A329" s="4017"/>
      <c r="B329" s="4017"/>
      <c r="C329" s="4017"/>
      <c r="D329" s="4017"/>
      <c r="E329" s="4018"/>
      <c r="F329" s="4018" t="s">
        <v>161</v>
      </c>
      <c r="G329" s="4018"/>
      <c r="H329" s="4018"/>
      <c r="I329" s="4020"/>
      <c r="J329" s="4017"/>
      <c r="K329" s="4017"/>
      <c r="L329" s="4021"/>
      <c r="M329" s="4022"/>
      <c r="N329" s="4022"/>
      <c r="O329" s="4022"/>
      <c r="P329" s="4023"/>
      <c r="Q329" s="4023"/>
      <c r="R329" s="4039"/>
      <c r="S329" s="6279"/>
      <c r="T329" s="6280" t="s">
        <v>540</v>
      </c>
      <c r="U329" s="6281"/>
      <c r="V329" s="6282"/>
      <c r="W329" s="6283"/>
      <c r="X329" s="6284"/>
      <c r="Y329" s="6285"/>
      <c r="Z329" s="6286"/>
      <c r="AA329" s="6287"/>
      <c r="AB329" s="6288"/>
      <c r="AC329" s="6289"/>
      <c r="AD329" s="6290"/>
      <c r="AE329" s="6291"/>
      <c r="AF329" s="6292"/>
      <c r="AG329" s="6293"/>
      <c r="AH329" s="6294"/>
      <c r="AI329" s="6295"/>
      <c r="AJ329" s="6296"/>
      <c r="AK329" s="6297"/>
      <c r="AL329" s="6298"/>
      <c r="AM329" s="6299"/>
      <c r="AN329" s="6300"/>
      <c r="AO329" s="6301"/>
      <c r="AP329" s="6302"/>
      <c r="AQ329" s="6303"/>
      <c r="AR329" s="6304"/>
      <c r="AS329" s="3983"/>
      <c r="AT329" s="4030"/>
      <c r="AU329" s="4030" t="str">
        <f>IF(T329="","",T329)</f>
        <v>Добавить группу потребителей</v>
      </c>
      <c r="AV329" s="4030"/>
      <c r="AW329" s="4030"/>
      <c r="AX329" s="3916">
        <v>0</v>
      </c>
    </row>
    <row s="11780" customFormat="1" customHeight="1" ht="14.25">
      <c r="A330" s="4017"/>
      <c r="B330" s="4017"/>
      <c r="C330" s="4017"/>
      <c r="D330" s="4017"/>
      <c r="E330" s="4018"/>
      <c r="F330" s="4018" t="s">
        <v>161</v>
      </c>
      <c r="G330" s="4018"/>
      <c r="H330" s="4110"/>
      <c r="I330" s="4017"/>
      <c r="J330" s="4017"/>
      <c r="K330" s="4017"/>
      <c r="L330" s="4021"/>
      <c r="M330" s="4111"/>
      <c r="N330" s="4111"/>
      <c r="O330" s="3973"/>
      <c r="P330" s="4239"/>
      <c r="Q330" s="4240"/>
      <c r="R330" s="4241"/>
      <c r="S330" s="6306"/>
      <c r="T330" s="6307" t="s">
        <v>613</v>
      </c>
      <c r="U330" s="6308"/>
      <c r="V330" s="6309"/>
      <c r="W330" s="6310"/>
      <c r="X330" s="6311"/>
      <c r="Y330" s="6312"/>
      <c r="Z330" s="6313"/>
      <c r="AA330" s="6314"/>
      <c r="AB330" s="6315"/>
      <c r="AC330" s="6316"/>
      <c r="AD330" s="6317"/>
      <c r="AE330" s="6318"/>
      <c r="AF330" s="6319"/>
      <c r="AG330" s="6320"/>
      <c r="AH330" s="6321"/>
      <c r="AI330" s="6322"/>
      <c r="AJ330" s="6323"/>
      <c r="AK330" s="6324"/>
      <c r="AL330" s="6325"/>
      <c r="AM330" s="6326"/>
      <c r="AN330" s="6327"/>
      <c r="AO330" s="6328"/>
      <c r="AP330" s="6329"/>
      <c r="AQ330" s="6330"/>
      <c r="AR330" s="6331"/>
      <c r="AS330" s="3983"/>
      <c r="AT330" s="4030"/>
      <c r="AU330" s="4030" t="str">
        <f>IF(T330="","",T330)</f>
        <v>Добавить наименование признака дифференциации</v>
      </c>
      <c r="AV330" s="4030"/>
      <c r="AW330" s="4030"/>
      <c r="AX330" s="3916">
        <v>0</v>
      </c>
    </row>
    <row s="11807" customFormat="1" customHeight="1" ht="14.25">
      <c r="A331" s="4269"/>
      <c r="B331" s="4269"/>
      <c r="C331" s="4269"/>
      <c r="D331" s="4269"/>
      <c r="E331" s="4018"/>
      <c r="F331" s="4110" t="s">
        <v>161</v>
      </c>
      <c r="G331" s="4269"/>
      <c r="H331" s="4269"/>
      <c r="I331" s="4269"/>
      <c r="J331" s="4269"/>
      <c r="K331" s="4269"/>
      <c r="L331" s="4270"/>
      <c r="M331" s="4271"/>
      <c r="N331" s="4271"/>
      <c r="O331" s="3983"/>
      <c r="P331" s="4272"/>
      <c r="Q331" s="4273"/>
      <c r="R331" s="4272"/>
      <c r="S331" s="4274"/>
      <c r="T331" s="4275" t="s">
        <v>298</v>
      </c>
      <c r="U331" s="3971"/>
      <c r="V331" s="3971"/>
      <c r="W331" s="3971"/>
      <c r="X331" s="3971"/>
      <c r="Y331" s="3971"/>
      <c r="Z331" s="3971"/>
      <c r="AA331" s="3971"/>
      <c r="AB331" s="3971"/>
      <c r="AC331" s="3971"/>
      <c r="AD331" s="3971"/>
      <c r="AE331" s="3971"/>
      <c r="AF331" s="3971"/>
      <c r="AG331" s="3971"/>
      <c r="AH331" s="3971"/>
      <c r="AI331" s="3971"/>
      <c r="AJ331" s="3971"/>
      <c r="AK331" s="3971"/>
      <c r="AL331" s="3971"/>
      <c r="AM331" s="3971"/>
      <c r="AN331" s="3971"/>
      <c r="AO331" s="3971"/>
      <c r="AP331" s="3971"/>
      <c r="AQ331" s="3971"/>
      <c r="AR331" s="3971"/>
      <c r="AS331" s="3983"/>
      <c r="AT331" s="4030"/>
      <c r="AU331" s="4030" t="str">
        <f>IF(T331="","",T331)</f>
        <v>Добавить централизованную систему для дифференциации</v>
      </c>
      <c r="AV331" s="4030"/>
      <c r="AW331" s="4030"/>
      <c r="AX331" s="3983">
        <v>0</v>
      </c>
    </row>
    <row s="11808" customFormat="1" customHeight="1" ht="23.25">
      <c r="A332" s="4017"/>
      <c r="B332" s="4017" t="s">
        <v>345</v>
      </c>
      <c r="C332" s="4017"/>
      <c r="D332" s="4017"/>
      <c r="E332" s="4018"/>
      <c r="F332" s="4110" t="s">
        <v>171</v>
      </c>
      <c r="G332" s="4017"/>
      <c r="H332" s="4017"/>
      <c r="I332" s="4017"/>
      <c r="J332" s="4017"/>
      <c r="K332" s="4017"/>
      <c r="L332" s="4021"/>
      <c r="M332" s="4111"/>
      <c r="N332" s="4111"/>
      <c r="O332" s="4111"/>
      <c r="P332" s="4112"/>
      <c r="Q332" s="4113"/>
      <c r="R332" s="4114"/>
      <c r="S332" s="4026" t="str">
        <f>INDEX(PT_DIFFERENTIATION_NUM_TER,MATCH(B332,PT_DIFFERENTIATION_TER_ID,0))</f>
        <v>1.16</v>
      </c>
      <c r="T332" s="4115" t="s">
        <v>525</v>
      </c>
      <c r="U332" s="4028"/>
      <c r="V332" s="3918"/>
      <c r="W332" s="3919"/>
      <c r="X332" s="3919"/>
      <c r="Y332" s="3919"/>
      <c r="Z332" s="3919"/>
      <c r="AA332" s="3919"/>
      <c r="AB332" s="3920"/>
      <c r="AC332" s="3918" t="str">
        <f>INDEX(PT_DIFFERENTIATION_TER,MATCH(B332,PT_DIFFERENTIATION_TER_ID,0))</f>
        <v>Территория 16</v>
      </c>
      <c r="AD332" s="3919"/>
      <c r="AE332" s="3919"/>
      <c r="AF332" s="3919"/>
      <c r="AG332" s="3919"/>
      <c r="AH332" s="3919"/>
      <c r="AI332" s="3919"/>
      <c r="AJ332" s="3918"/>
      <c r="AK332" s="3919"/>
      <c r="AL332" s="3919"/>
      <c r="AM332" s="3919"/>
      <c r="AN332" s="3919"/>
      <c r="AO332" s="3919"/>
      <c r="AP332" s="3920"/>
      <c r="AQ332" s="3920"/>
      <c r="AR332" s="4065" t="s">
        <v>526</v>
      </c>
      <c r="AS332" s="3983"/>
      <c r="AT332" s="4030"/>
      <c r="AU332" s="4030" t="str">
        <f>IF(T332="","",T332)</f>
        <v>Территория действия тарифа</v>
      </c>
      <c r="AV332" s="4030"/>
      <c r="AW332" s="4030"/>
      <c r="AX332" s="3916">
        <v>0</v>
      </c>
    </row>
    <row s="11809" customFormat="1" customHeight="1" ht="23.25">
      <c r="A333" s="4017"/>
      <c r="B333" s="4017"/>
      <c r="C333" s="4017" t="s">
        <v>346</v>
      </c>
      <c r="D333" s="4017"/>
      <c r="E333" s="4018"/>
      <c r="F333" s="4018" t="s">
        <v>166</v>
      </c>
      <c r="G333" s="4110">
        <v>1</v>
      </c>
      <c r="H333" s="4017"/>
      <c r="I333" s="4017"/>
      <c r="J333" s="4017"/>
      <c r="K333" s="4017"/>
      <c r="L333" s="4021"/>
      <c r="M333" s="4111"/>
      <c r="N333" s="4111"/>
      <c r="O333" s="4111"/>
      <c r="P333" s="4117"/>
      <c r="Q333" s="4113"/>
      <c r="R333" s="4114"/>
      <c r="S333" s="4026" t="str">
        <f>INDEX(PT_DIFFERENTIATION_NUM_CS,MATCH(C333,PT_DIFFERENTIATION_CS_ID,0))</f>
        <v>1.16.1</v>
      </c>
      <c r="T333" s="4118" t="s">
        <v>606</v>
      </c>
      <c r="U333" s="4028"/>
      <c r="V333" s="3918"/>
      <c r="W333" s="3919"/>
      <c r="X333" s="3919"/>
      <c r="Y333" s="3919"/>
      <c r="Z333" s="3919"/>
      <c r="AA333" s="3919"/>
      <c r="AB333" s="3920"/>
      <c r="AC333" s="3918" t="str">
        <f>INDEX(PT_DIFFERENTIATION_CS,MATCH(C333,PT_DIFFERENTIATION_CS_ID,0))</f>
        <v>без дифференциации</v>
      </c>
      <c r="AD333" s="3919"/>
      <c r="AE333" s="3919"/>
      <c r="AF333" s="3919"/>
      <c r="AG333" s="3919"/>
      <c r="AH333" s="3919"/>
      <c r="AI333" s="3919"/>
      <c r="AJ333" s="3918"/>
      <c r="AK333" s="3919"/>
      <c r="AL333" s="3919"/>
      <c r="AM333" s="3919"/>
      <c r="AN333" s="3919"/>
      <c r="AO333" s="3919"/>
      <c r="AP333" s="3920"/>
      <c r="AQ333" s="3920"/>
      <c r="AR333" s="4065" t="s">
        <v>607</v>
      </c>
      <c r="AS333" s="3983"/>
      <c r="AT333" s="4030"/>
      <c r="AU333" s="4030" t="str">
        <f>IF(T333="","",T333)</f>
        <v>Наименование централизованной системы холодного водоснабжения</v>
      </c>
      <c r="AV333" s="4030"/>
      <c r="AW333" s="4030"/>
      <c r="AX333" s="3916">
        <v>0</v>
      </c>
    </row>
    <row s="11810" customFormat="1" customHeight="1" ht="23.25">
      <c r="A334" s="4017"/>
      <c r="B334" s="4017"/>
      <c r="C334" s="4017"/>
      <c r="D334" s="4017"/>
      <c r="E334" s="4018"/>
      <c r="F334" s="4018" t="s">
        <v>166</v>
      </c>
      <c r="G334" s="4018"/>
      <c r="H334" s="4018"/>
      <c r="I334" s="4020" t="str">
        <f>S333&amp;".1"</f>
        <v>1.16.1.1</v>
      </c>
      <c r="J334" s="4017"/>
      <c r="K334" s="4017"/>
      <c r="L334" s="4021"/>
      <c r="M334" s="4022"/>
      <c r="N334" s="4022"/>
      <c r="O334" s="4022"/>
      <c r="P334" s="4023">
        <v>1</v>
      </c>
      <c r="Q334" s="4023"/>
      <c r="R334" s="4039"/>
      <c r="S334" s="4026" t="str">
        <f>$I334</f>
        <v>1.16.1.1</v>
      </c>
      <c r="T334" s="4120" t="s">
        <v>608</v>
      </c>
      <c r="U334" s="4028"/>
      <c r="V334" s="3928"/>
      <c r="W334" s="3929"/>
      <c r="X334" s="3929"/>
      <c r="Y334" s="3929"/>
      <c r="Z334" s="3929"/>
      <c r="AA334" s="3929"/>
      <c r="AB334" s="3930"/>
      <c r="AC334" s="4121"/>
      <c r="AD334" s="4122"/>
      <c r="AE334" s="4122"/>
      <c r="AF334" s="4122"/>
      <c r="AG334" s="4122"/>
      <c r="AH334" s="4122"/>
      <c r="AI334" s="4122"/>
      <c r="AJ334" s="3928"/>
      <c r="AK334" s="3929"/>
      <c r="AL334" s="3929"/>
      <c r="AM334" s="3929"/>
      <c r="AN334" s="3929"/>
      <c r="AO334" s="3929"/>
      <c r="AP334" s="3930"/>
      <c r="AQ334" s="4123"/>
      <c r="AR334" s="4065" t="s">
        <v>609</v>
      </c>
      <c r="AS334" s="3983"/>
      <c r="AT334" s="4030"/>
      <c r="AU334" s="4030" t="str">
        <f>IF(T334="","",T334)</f>
        <v>Наименование признака дифференциации</v>
      </c>
      <c r="AV334" s="4030"/>
      <c r="AW334" s="4030"/>
      <c r="AX334" s="3916">
        <v>0</v>
      </c>
    </row>
    <row s="11811" customFormat="1" customHeight="1" ht="23.25">
      <c r="A335" s="4017"/>
      <c r="B335" s="4017"/>
      <c r="C335" s="4017"/>
      <c r="D335" s="4017"/>
      <c r="E335" s="4018"/>
      <c r="F335" s="4018" t="s">
        <v>166</v>
      </c>
      <c r="G335" s="4018"/>
      <c r="H335" s="4018"/>
      <c r="I335" s="4019"/>
      <c r="J335" s="4020" t="str">
        <f>I334&amp;".1"</f>
        <v>1.16.1.1.1</v>
      </c>
      <c r="K335" s="4017"/>
      <c r="L335" s="4021" t="s">
        <v>534</v>
      </c>
      <c r="M335" s="4022"/>
      <c r="N335" s="4022"/>
      <c r="O335" s="4022"/>
      <c r="P335" s="4023"/>
      <c r="Q335" s="4023">
        <v>1</v>
      </c>
      <c r="R335" s="4025"/>
      <c r="S335" s="4026" t="str">
        <f>$J335</f>
        <v>1.16.1.1.1</v>
      </c>
      <c r="T335" s="4027" t="s">
        <v>535</v>
      </c>
      <c r="U335" s="4028"/>
      <c r="V335" s="3932"/>
      <c r="W335" s="3933"/>
      <c r="X335" s="3933"/>
      <c r="Y335" s="3933"/>
      <c r="Z335" s="3933"/>
      <c r="AA335" s="3933"/>
      <c r="AB335" s="3934"/>
      <c r="AC335" s="3932" t="s">
        <v>621</v>
      </c>
      <c r="AD335" s="3933"/>
      <c r="AE335" s="3933"/>
      <c r="AF335" s="3933"/>
      <c r="AG335" s="3933"/>
      <c r="AH335" s="3933"/>
      <c r="AI335" s="3933"/>
      <c r="AJ335" s="3932"/>
      <c r="AK335" s="3933"/>
      <c r="AL335" s="3933"/>
      <c r="AM335" s="3933"/>
      <c r="AN335" s="3933"/>
      <c r="AO335" s="3933"/>
      <c r="AP335" s="3934"/>
      <c r="AQ335" s="3934"/>
      <c r="AR335" s="4029" t="s">
        <v>610</v>
      </c>
      <c r="AS335" s="3983"/>
      <c r="AT335" s="4030"/>
      <c r="AU335" s="4030" t="str">
        <f>IF(T335="","",T335)</f>
        <v>Группа потребителей</v>
      </c>
      <c r="AV335" s="4030"/>
      <c r="AW335" s="4030"/>
      <c r="AX335" s="3916">
        <v>0</v>
      </c>
    </row>
    <row s="11812" customFormat="1" customHeight="1" ht="23.25">
      <c r="A336" s="4017"/>
      <c r="B336" s="4017"/>
      <c r="C336" s="4017"/>
      <c r="D336" s="4017"/>
      <c r="E336" s="4018"/>
      <c r="F336" s="4018" t="s">
        <v>166</v>
      </c>
      <c r="G336" s="4018"/>
      <c r="H336" s="4018"/>
      <c r="I336" s="4019"/>
      <c r="J336" s="4019"/>
      <c r="K336" s="4020" t="str">
        <f>J335&amp;".1"</f>
        <v>1.16.1.1.1.1</v>
      </c>
      <c r="L336" s="4021"/>
      <c r="M336" s="4022"/>
      <c r="N336" s="4022"/>
      <c r="O336" s="4022"/>
      <c r="P336" s="4023"/>
      <c r="Q336" s="4023"/>
      <c r="R336" s="4025">
        <v>1</v>
      </c>
      <c r="S336" s="4026" t="str">
        <f>$K336</f>
        <v>1.16.1.1.1.1</v>
      </c>
      <c r="T336" s="4032"/>
      <c r="U336" s="4028"/>
      <c r="V336" s="3936"/>
      <c r="W336" s="3936"/>
      <c r="X336" s="3937"/>
      <c r="Y336" s="3938"/>
      <c r="Z336" s="3939" t="s">
        <v>66</v>
      </c>
      <c r="AA336" s="3938"/>
      <c r="AB336" s="3939" t="s">
        <v>66</v>
      </c>
      <c r="AC336" s="3936">
        <v>57.42</v>
      </c>
      <c r="AD336" s="3936"/>
      <c r="AE336" s="3937"/>
      <c r="AF336" s="3938">
        <v>45658</v>
      </c>
      <c r="AG336" s="3939" t="s">
        <v>66</v>
      </c>
      <c r="AH336" s="4006">
        <v>45838</v>
      </c>
      <c r="AI336" s="3939" t="s">
        <v>66</v>
      </c>
      <c r="AJ336" s="3936">
        <v>62.02</v>
      </c>
      <c r="AK336" s="3936"/>
      <c r="AL336" s="3937"/>
      <c r="AM336" s="3938">
        <v>45839</v>
      </c>
      <c r="AN336" s="3939" t="s">
        <v>66</v>
      </c>
      <c r="AO336" s="3938">
        <v>46022</v>
      </c>
      <c r="AP336" s="3939" t="s">
        <v>66</v>
      </c>
      <c r="AQ336" s="4033"/>
      <c r="AR336" s="4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336" s="3983">
        <f>STRCHECKDATE(V337:AQ337)</f>
      </c>
      <c r="AT336" s="4030"/>
      <c r="AU336" s="4030" t="str">
        <f>IF(T336="","",T336)</f>
        <v/>
      </c>
      <c r="AV336" s="4030"/>
      <c r="AW336" s="4030"/>
      <c r="AX336" s="3916">
        <v>0</v>
      </c>
    </row>
    <row s="11813" customFormat="1" customHeight="1" ht="14.25">
      <c r="A337" s="4017"/>
      <c r="B337" s="4017"/>
      <c r="C337" s="4017"/>
      <c r="D337" s="4017"/>
      <c r="E337" s="4018"/>
      <c r="F337" s="4018" t="s">
        <v>166</v>
      </c>
      <c r="G337" s="4018"/>
      <c r="H337" s="4018"/>
      <c r="I337" s="4019"/>
      <c r="J337" s="4019"/>
      <c r="K337" s="4020"/>
      <c r="L337" s="4021"/>
      <c r="M337" s="4022"/>
      <c r="N337" s="4022"/>
      <c r="O337" s="4022"/>
      <c r="P337" s="4023"/>
      <c r="Q337" s="4023"/>
      <c r="R337" s="4025"/>
      <c r="S337" s="4036"/>
      <c r="T337" s="4028"/>
      <c r="U337" s="4028"/>
      <c r="V337" s="3943"/>
      <c r="W337" s="3943"/>
      <c r="X337" s="3944" t="str">
        <f>Y336&amp;"-"&amp;AA336</f>
        <v>-</v>
      </c>
      <c r="Y337" s="3945"/>
      <c r="Z337" s="3939"/>
      <c r="AA337" s="3945"/>
      <c r="AB337" s="3939"/>
      <c r="AC337" s="3943"/>
      <c r="AD337" s="3943"/>
      <c r="AE337" s="3944" t="str">
        <f>AF336&amp;"-"&amp;AH336</f>
        <v>45658-45838</v>
      </c>
      <c r="AF337" s="3945"/>
      <c r="AG337" s="3939"/>
      <c r="AH337" s="4008"/>
      <c r="AI337" s="3939"/>
      <c r="AJ337" s="3943"/>
      <c r="AK337" s="3943"/>
      <c r="AL337" s="3944" t="str">
        <f>AM336&amp;"-"&amp;AO336</f>
        <v>45839-46022</v>
      </c>
      <c r="AM337" s="3945"/>
      <c r="AN337" s="3939"/>
      <c r="AO337" s="3945"/>
      <c r="AP337" s="3939"/>
      <c r="AQ337" s="4037"/>
      <c r="AR337" s="4034"/>
      <c r="AS337" s="3983"/>
      <c r="AT337" s="4030"/>
      <c r="AU337" s="4030" t="str">
        <f>IF(T337="","",T337)</f>
        <v/>
      </c>
      <c r="AV337" s="4030"/>
      <c r="AW337" s="4030"/>
      <c r="AX337" s="3916">
        <v>0</v>
      </c>
    </row>
    <row s="11814" customFormat="1" customHeight="1" ht="21">
      <c r="A338" s="4017"/>
      <c r="B338" s="4017"/>
      <c r="C338" s="4017"/>
      <c r="D338" s="4017"/>
      <c r="E338" s="4018"/>
      <c r="F338" s="4018" t="s">
        <v>166</v>
      </c>
      <c r="G338" s="4018"/>
      <c r="H338" s="4018"/>
      <c r="I338" s="4019"/>
      <c r="J338" s="4020"/>
      <c r="K338" s="4017"/>
      <c r="L338" s="4021"/>
      <c r="M338" s="4022"/>
      <c r="N338" s="4022"/>
      <c r="O338" s="4022"/>
      <c r="P338" s="4023"/>
      <c r="Q338" s="4023"/>
      <c r="R338" s="4039"/>
      <c r="S338" s="6340"/>
      <c r="T338" s="6341" t="s">
        <v>611</v>
      </c>
      <c r="U338" s="6342"/>
      <c r="V338" s="6343"/>
      <c r="W338" s="6344"/>
      <c r="X338" s="6345"/>
      <c r="Y338" s="6346"/>
      <c r="Z338" s="6347"/>
      <c r="AA338" s="6348"/>
      <c r="AB338" s="6349"/>
      <c r="AC338" s="6350"/>
      <c r="AD338" s="6351"/>
      <c r="AE338" s="6352"/>
      <c r="AF338" s="6353"/>
      <c r="AG338" s="6354"/>
      <c r="AH338" s="6355"/>
      <c r="AI338" s="6356"/>
      <c r="AJ338" s="6357"/>
      <c r="AK338" s="6358"/>
      <c r="AL338" s="6359"/>
      <c r="AM338" s="6360"/>
      <c r="AN338" s="6361"/>
      <c r="AO338" s="6362"/>
      <c r="AP338" s="6363"/>
      <c r="AQ338" s="6364"/>
      <c r="AR338" s="4065" t="s">
        <v>612</v>
      </c>
      <c r="AS338" s="3983"/>
      <c r="AT338" s="4030"/>
      <c r="AU338" s="4030" t="str">
        <f>IF(T338="","",T338)</f>
        <v>Добавить значение признака дифференциации</v>
      </c>
      <c r="AV338" s="4030"/>
      <c r="AW338" s="4030"/>
      <c r="AX338" s="3916">
        <v>0</v>
      </c>
    </row>
    <row s="11840" customFormat="1" customHeight="1" ht="23.25">
      <c r="A339" s="4017"/>
      <c r="B339" s="4017"/>
      <c r="C339" s="4017"/>
      <c r="D339" s="4017"/>
      <c r="E339" s="4018"/>
      <c r="F339" s="4018"/>
      <c r="G339" s="4018"/>
      <c r="H339" s="4018"/>
      <c r="I339" s="4019"/>
      <c r="J339" s="4020" t="str">
        <f>I334&amp;".2"</f>
        <v>1.16.1.1.2</v>
      </c>
      <c r="K339" s="4017"/>
      <c r="L339" s="4021" t="s">
        <v>534</v>
      </c>
      <c r="M339" s="4022"/>
      <c r="N339" s="4022"/>
      <c r="O339" s="4022"/>
      <c r="P339" s="4023"/>
      <c r="Q339" s="4024" t="s">
        <v>105</v>
      </c>
      <c r="R339" s="4025"/>
      <c r="S339" s="4026" t="str">
        <f>$J339</f>
        <v>1.16.1.1.2</v>
      </c>
      <c r="T339" s="4027" t="s">
        <v>535</v>
      </c>
      <c r="U339" s="4028"/>
      <c r="V339" s="3932"/>
      <c r="W339" s="3933"/>
      <c r="X339" s="3933"/>
      <c r="Y339" s="3933"/>
      <c r="Z339" s="3933"/>
      <c r="AA339" s="3933"/>
      <c r="AB339" s="3934"/>
      <c r="AC339" s="3932" t="s">
        <v>622</v>
      </c>
      <c r="AD339" s="3933"/>
      <c r="AE339" s="3933"/>
      <c r="AF339" s="3933"/>
      <c r="AG339" s="3933"/>
      <c r="AH339" s="3933"/>
      <c r="AI339" s="3933"/>
      <c r="AJ339" s="3932"/>
      <c r="AK339" s="3933"/>
      <c r="AL339" s="3933"/>
      <c r="AM339" s="3933"/>
      <c r="AN339" s="3933"/>
      <c r="AO339" s="3933"/>
      <c r="AP339" s="3934"/>
      <c r="AQ339" s="3934"/>
      <c r="AR339" s="4029" t="s">
        <v>610</v>
      </c>
      <c r="AS339" s="3983"/>
      <c r="AT339" s="4030"/>
      <c r="AU339" s="4030" t="str">
        <f>IF(T339="","",T339)</f>
        <v>Группа потребителей</v>
      </c>
      <c r="AV339" s="4030"/>
      <c r="AW339" s="4030"/>
      <c r="AX339" s="3916">
        <v>0</v>
      </c>
    </row>
    <row s="11841" customFormat="1" customHeight="1" ht="23.25">
      <c r="A340" s="4017"/>
      <c r="B340" s="4017"/>
      <c r="C340" s="4017"/>
      <c r="D340" s="4017"/>
      <c r="E340" s="4018"/>
      <c r="F340" s="4018"/>
      <c r="G340" s="4018"/>
      <c r="H340" s="4018"/>
      <c r="I340" s="4019"/>
      <c r="J340" s="4019" t="str">
        <f>I334&amp;".1"</f>
        <v>1.16.1.1.1</v>
      </c>
      <c r="K340" s="4020" t="str">
        <f>J339&amp;".1"</f>
        <v>1.16.1.1.2.1</v>
      </c>
      <c r="L340" s="4021"/>
      <c r="M340" s="4022"/>
      <c r="N340" s="4022"/>
      <c r="O340" s="4022"/>
      <c r="P340" s="4023"/>
      <c r="Q340" s="4023"/>
      <c r="R340" s="4025">
        <v>1</v>
      </c>
      <c r="S340" s="4026" t="str">
        <f>$K340</f>
        <v>1.16.1.1.2.1</v>
      </c>
      <c r="T340" s="4032"/>
      <c r="U340" s="4028"/>
      <c r="V340" s="3936"/>
      <c r="W340" s="3936"/>
      <c r="X340" s="3937"/>
      <c r="Y340" s="3938"/>
      <c r="Z340" s="3939" t="s">
        <v>66</v>
      </c>
      <c r="AA340" s="3938"/>
      <c r="AB340" s="3939" t="s">
        <v>66</v>
      </c>
      <c r="AC340" s="3936">
        <v>54.69</v>
      </c>
      <c r="AD340" s="3936"/>
      <c r="AE340" s="3937"/>
      <c r="AF340" s="3938">
        <v>45658</v>
      </c>
      <c r="AG340" s="3939" t="s">
        <v>66</v>
      </c>
      <c r="AH340" s="4006">
        <v>45838</v>
      </c>
      <c r="AI340" s="3939" t="s">
        <v>66</v>
      </c>
      <c r="AJ340" s="3936">
        <v>102.47</v>
      </c>
      <c r="AK340" s="3936"/>
      <c r="AL340" s="3937"/>
      <c r="AM340" s="3938">
        <v>45839</v>
      </c>
      <c r="AN340" s="3939" t="s">
        <v>66</v>
      </c>
      <c r="AO340" s="3938">
        <v>46022</v>
      </c>
      <c r="AP340" s="3939" t="s">
        <v>66</v>
      </c>
      <c r="AQ340" s="4033"/>
      <c r="AR340" s="4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340" s="3983">
        <f>STRCHECKDATE(V341:AQ341)</f>
      </c>
      <c r="AT340" s="4030"/>
      <c r="AU340" s="4030" t="str">
        <f>IF(T340="","",T340)</f>
        <v/>
      </c>
      <c r="AV340" s="4030"/>
      <c r="AW340" s="4030"/>
      <c r="AX340" s="3916">
        <v>0</v>
      </c>
    </row>
    <row s="11842" customFormat="1" customHeight="1" ht="14.25">
      <c r="A341" s="4017"/>
      <c r="B341" s="4017"/>
      <c r="C341" s="4017"/>
      <c r="D341" s="4017"/>
      <c r="E341" s="4018"/>
      <c r="F341" s="4018"/>
      <c r="G341" s="4018"/>
      <c r="H341" s="4018"/>
      <c r="I341" s="4019"/>
      <c r="J341" s="4019" t="str">
        <f>I334&amp;".1"</f>
        <v>1.16.1.1.1</v>
      </c>
      <c r="K341" s="4020"/>
      <c r="L341" s="4021"/>
      <c r="M341" s="4022"/>
      <c r="N341" s="4022"/>
      <c r="O341" s="4022"/>
      <c r="P341" s="4023"/>
      <c r="Q341" s="4023"/>
      <c r="R341" s="4025"/>
      <c r="S341" s="4036"/>
      <c r="T341" s="4028"/>
      <c r="U341" s="4028"/>
      <c r="V341" s="3943"/>
      <c r="W341" s="3943"/>
      <c r="X341" s="3944" t="str">
        <f>Y340&amp;"-"&amp;AA340</f>
        <v>-</v>
      </c>
      <c r="Y341" s="3945"/>
      <c r="Z341" s="3939"/>
      <c r="AA341" s="3945"/>
      <c r="AB341" s="3939"/>
      <c r="AC341" s="3943"/>
      <c r="AD341" s="3943"/>
      <c r="AE341" s="3944" t="str">
        <f>AF340&amp;"-"&amp;AH340</f>
        <v>45658-45838</v>
      </c>
      <c r="AF341" s="3945"/>
      <c r="AG341" s="3939"/>
      <c r="AH341" s="4008"/>
      <c r="AI341" s="3939"/>
      <c r="AJ341" s="3943"/>
      <c r="AK341" s="3943"/>
      <c r="AL341" s="3944" t="str">
        <f>AM340&amp;"-"&amp;AO340</f>
        <v>45839-46022</v>
      </c>
      <c r="AM341" s="3945"/>
      <c r="AN341" s="3939"/>
      <c r="AO341" s="3945"/>
      <c r="AP341" s="3939"/>
      <c r="AQ341" s="4037"/>
      <c r="AR341" s="4034"/>
      <c r="AS341" s="3983"/>
      <c r="AT341" s="4030"/>
      <c r="AU341" s="4030" t="str">
        <f>IF(T341="","",T341)</f>
        <v/>
      </c>
      <c r="AV341" s="4030"/>
      <c r="AW341" s="4030"/>
      <c r="AX341" s="3916">
        <v>0</v>
      </c>
    </row>
    <row s="11843" customFormat="1" customHeight="1" ht="21">
      <c r="A342" s="4017"/>
      <c r="B342" s="4017"/>
      <c r="C342" s="4017"/>
      <c r="D342" s="4017"/>
      <c r="E342" s="4018"/>
      <c r="F342" s="4018"/>
      <c r="G342" s="4018"/>
      <c r="H342" s="4018"/>
      <c r="I342" s="4019"/>
      <c r="J342" s="4020" t="str">
        <f>I334&amp;".1"</f>
        <v>1.16.1.1.1</v>
      </c>
      <c r="K342" s="4017"/>
      <c r="L342" s="4021"/>
      <c r="M342" s="4022"/>
      <c r="N342" s="4022"/>
      <c r="O342" s="4022"/>
      <c r="P342" s="4023"/>
      <c r="Q342" s="4023"/>
      <c r="R342" s="4039"/>
      <c r="S342" s="6369"/>
      <c r="T342" s="6370" t="s">
        <v>611</v>
      </c>
      <c r="U342" s="6371"/>
      <c r="V342" s="6372"/>
      <c r="W342" s="6373"/>
      <c r="X342" s="6374"/>
      <c r="Y342" s="6375"/>
      <c r="Z342" s="6376"/>
      <c r="AA342" s="6377"/>
      <c r="AB342" s="6378"/>
      <c r="AC342" s="6379"/>
      <c r="AD342" s="6380"/>
      <c r="AE342" s="6381"/>
      <c r="AF342" s="6382"/>
      <c r="AG342" s="6383"/>
      <c r="AH342" s="6384"/>
      <c r="AI342" s="6385"/>
      <c r="AJ342" s="6386"/>
      <c r="AK342" s="6387"/>
      <c r="AL342" s="6388"/>
      <c r="AM342" s="6389"/>
      <c r="AN342" s="6390"/>
      <c r="AO342" s="6391"/>
      <c r="AP342" s="6392"/>
      <c r="AQ342" s="6393"/>
      <c r="AR342" s="4065" t="s">
        <v>612</v>
      </c>
      <c r="AS342" s="3983"/>
      <c r="AT342" s="4030"/>
      <c r="AU342" s="4030" t="str">
        <f>IF(T342="","",T342)</f>
        <v>Добавить значение признака дифференциации</v>
      </c>
      <c r="AV342" s="4030"/>
      <c r="AW342" s="4030"/>
      <c r="AX342" s="3916">
        <v>0</v>
      </c>
    </row>
    <row s="11869" customFormat="1" customHeight="1" ht="23.25">
      <c r="A343" s="4017"/>
      <c r="B343" s="4017"/>
      <c r="C343" s="4017"/>
      <c r="D343" s="4017"/>
      <c r="E343" s="4018"/>
      <c r="F343" s="4018"/>
      <c r="G343" s="4018"/>
      <c r="H343" s="4018"/>
      <c r="I343" s="4019"/>
      <c r="J343" s="4020" t="str">
        <f>I334&amp;".3"</f>
        <v>1.16.1.1.3</v>
      </c>
      <c r="K343" s="4017"/>
      <c r="L343" s="4021" t="s">
        <v>534</v>
      </c>
      <c r="M343" s="4022"/>
      <c r="N343" s="4022"/>
      <c r="O343" s="4022"/>
      <c r="P343" s="4023"/>
      <c r="Q343" s="4024" t="s">
        <v>105</v>
      </c>
      <c r="R343" s="4025"/>
      <c r="S343" s="4026" t="str">
        <f>$J343</f>
        <v>1.16.1.1.3</v>
      </c>
      <c r="T343" s="4027" t="s">
        <v>535</v>
      </c>
      <c r="U343" s="4028"/>
      <c r="V343" s="3932"/>
      <c r="W343" s="3933"/>
      <c r="X343" s="3933"/>
      <c r="Y343" s="3933"/>
      <c r="Z343" s="3933"/>
      <c r="AA343" s="3933"/>
      <c r="AB343" s="3934"/>
      <c r="AC343" s="3932" t="s">
        <v>623</v>
      </c>
      <c r="AD343" s="3933"/>
      <c r="AE343" s="3933"/>
      <c r="AF343" s="3933"/>
      <c r="AG343" s="3933"/>
      <c r="AH343" s="3933"/>
      <c r="AI343" s="3933"/>
      <c r="AJ343" s="3932"/>
      <c r="AK343" s="3933"/>
      <c r="AL343" s="3933"/>
      <c r="AM343" s="3933"/>
      <c r="AN343" s="3933"/>
      <c r="AO343" s="3933"/>
      <c r="AP343" s="3934"/>
      <c r="AQ343" s="3934"/>
      <c r="AR343" s="4029" t="s">
        <v>610</v>
      </c>
      <c r="AS343" s="3983"/>
      <c r="AT343" s="4030"/>
      <c r="AU343" s="4030" t="str">
        <f>IF(T343="","",T343)</f>
        <v>Группа потребителей</v>
      </c>
      <c r="AV343" s="4030"/>
      <c r="AW343" s="4030"/>
      <c r="AX343" s="3916">
        <v>0</v>
      </c>
    </row>
    <row s="11870" customFormat="1" customHeight="1" ht="23.25">
      <c r="A344" s="4017"/>
      <c r="B344" s="4017"/>
      <c r="C344" s="4017"/>
      <c r="D344" s="4017"/>
      <c r="E344" s="4018"/>
      <c r="F344" s="4018"/>
      <c r="G344" s="4018"/>
      <c r="H344" s="4018"/>
      <c r="I344" s="4019"/>
      <c r="J344" s="4019" t="str">
        <f>I334&amp;".2"</f>
        <v>1.16.1.1.2</v>
      </c>
      <c r="K344" s="4020" t="str">
        <f>J343&amp;".1"</f>
        <v>1.16.1.1.3.1</v>
      </c>
      <c r="L344" s="4021"/>
      <c r="M344" s="4022"/>
      <c r="N344" s="4022"/>
      <c r="O344" s="4022"/>
      <c r="P344" s="4023"/>
      <c r="Q344" s="4023"/>
      <c r="R344" s="4025">
        <v>1</v>
      </c>
      <c r="S344" s="4026" t="str">
        <f>$K344</f>
        <v>1.16.1.1.3.1</v>
      </c>
      <c r="T344" s="4032"/>
      <c r="U344" s="4028"/>
      <c r="V344" s="3936"/>
      <c r="W344" s="3936"/>
      <c r="X344" s="3937"/>
      <c r="Y344" s="3938"/>
      <c r="Z344" s="3939" t="s">
        <v>66</v>
      </c>
      <c r="AA344" s="3938"/>
      <c r="AB344" s="3939" t="s">
        <v>66</v>
      </c>
      <c r="AC344" s="3936">
        <v>54.69</v>
      </c>
      <c r="AD344" s="3936"/>
      <c r="AE344" s="3937"/>
      <c r="AF344" s="3938">
        <v>45658</v>
      </c>
      <c r="AG344" s="3939" t="s">
        <v>66</v>
      </c>
      <c r="AH344" s="4006">
        <v>45838</v>
      </c>
      <c r="AI344" s="3939" t="s">
        <v>66</v>
      </c>
      <c r="AJ344" s="3936">
        <v>102.47</v>
      </c>
      <c r="AK344" s="3936"/>
      <c r="AL344" s="3937"/>
      <c r="AM344" s="3938">
        <v>45839</v>
      </c>
      <c r="AN344" s="3939" t="s">
        <v>66</v>
      </c>
      <c r="AO344" s="3938">
        <v>46022</v>
      </c>
      <c r="AP344" s="3939" t="s">
        <v>66</v>
      </c>
      <c r="AQ344" s="4033"/>
      <c r="AR344" s="4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344" s="3983">
        <f>STRCHECKDATE(V345:AQ345)</f>
      </c>
      <c r="AT344" s="4030"/>
      <c r="AU344" s="4030" t="str">
        <f>IF(T344="","",T344)</f>
        <v/>
      </c>
      <c r="AV344" s="4030"/>
      <c r="AW344" s="4030"/>
      <c r="AX344" s="3916">
        <v>0</v>
      </c>
    </row>
    <row s="11871" customFormat="1" customHeight="1" ht="14.25">
      <c r="A345" s="4017"/>
      <c r="B345" s="4017"/>
      <c r="C345" s="4017"/>
      <c r="D345" s="4017"/>
      <c r="E345" s="4018"/>
      <c r="F345" s="4018"/>
      <c r="G345" s="4018"/>
      <c r="H345" s="4018"/>
      <c r="I345" s="4019"/>
      <c r="J345" s="4019" t="str">
        <f>I334&amp;".2"</f>
        <v>1.16.1.1.2</v>
      </c>
      <c r="K345" s="4020"/>
      <c r="L345" s="4021"/>
      <c r="M345" s="4022"/>
      <c r="N345" s="4022"/>
      <c r="O345" s="4022"/>
      <c r="P345" s="4023"/>
      <c r="Q345" s="4023"/>
      <c r="R345" s="4025"/>
      <c r="S345" s="4036"/>
      <c r="T345" s="4028"/>
      <c r="U345" s="4028"/>
      <c r="V345" s="3943"/>
      <c r="W345" s="3943"/>
      <c r="X345" s="3944" t="str">
        <f>Y344&amp;"-"&amp;AA344</f>
        <v>-</v>
      </c>
      <c r="Y345" s="3945"/>
      <c r="Z345" s="3939"/>
      <c r="AA345" s="3945"/>
      <c r="AB345" s="3939"/>
      <c r="AC345" s="3943"/>
      <c r="AD345" s="3943"/>
      <c r="AE345" s="3944" t="str">
        <f>AF344&amp;"-"&amp;AH344</f>
        <v>45658-45838</v>
      </c>
      <c r="AF345" s="3945"/>
      <c r="AG345" s="3939"/>
      <c r="AH345" s="4008"/>
      <c r="AI345" s="3939"/>
      <c r="AJ345" s="3943"/>
      <c r="AK345" s="3943"/>
      <c r="AL345" s="3944" t="str">
        <f>AM344&amp;"-"&amp;AO344</f>
        <v>45839-46022</v>
      </c>
      <c r="AM345" s="3945"/>
      <c r="AN345" s="3939"/>
      <c r="AO345" s="3945"/>
      <c r="AP345" s="3939"/>
      <c r="AQ345" s="4037"/>
      <c r="AR345" s="4034"/>
      <c r="AS345" s="3983"/>
      <c r="AT345" s="4030"/>
      <c r="AU345" s="4030" t="str">
        <f>IF(T345="","",T345)</f>
        <v/>
      </c>
      <c r="AV345" s="4030"/>
      <c r="AW345" s="4030"/>
      <c r="AX345" s="3916">
        <v>0</v>
      </c>
    </row>
    <row s="11872" customFormat="1" customHeight="1" ht="21">
      <c r="A346" s="4017"/>
      <c r="B346" s="4017"/>
      <c r="C346" s="4017"/>
      <c r="D346" s="4017"/>
      <c r="E346" s="4018"/>
      <c r="F346" s="4018"/>
      <c r="G346" s="4018"/>
      <c r="H346" s="4018"/>
      <c r="I346" s="4019"/>
      <c r="J346" s="4020" t="str">
        <f>I334&amp;".2"</f>
        <v>1.16.1.1.2</v>
      </c>
      <c r="K346" s="4017"/>
      <c r="L346" s="4021"/>
      <c r="M346" s="4022"/>
      <c r="N346" s="4022"/>
      <c r="O346" s="4022"/>
      <c r="P346" s="4023"/>
      <c r="Q346" s="4023"/>
      <c r="R346" s="4039"/>
      <c r="S346" s="6398"/>
      <c r="T346" s="6399" t="s">
        <v>611</v>
      </c>
      <c r="U346" s="6400"/>
      <c r="V346" s="6401"/>
      <c r="W346" s="6402"/>
      <c r="X346" s="6403"/>
      <c r="Y346" s="6404"/>
      <c r="Z346" s="6405"/>
      <c r="AA346" s="6406"/>
      <c r="AB346" s="6407"/>
      <c r="AC346" s="6408"/>
      <c r="AD346" s="6409"/>
      <c r="AE346" s="6410"/>
      <c r="AF346" s="6411"/>
      <c r="AG346" s="6412"/>
      <c r="AH346" s="6413"/>
      <c r="AI346" s="6414"/>
      <c r="AJ346" s="6415"/>
      <c r="AK346" s="6416"/>
      <c r="AL346" s="6417"/>
      <c r="AM346" s="6418"/>
      <c r="AN346" s="6419"/>
      <c r="AO346" s="6420"/>
      <c r="AP346" s="6421"/>
      <c r="AQ346" s="6422"/>
      <c r="AR346" s="4065" t="s">
        <v>612</v>
      </c>
      <c r="AS346" s="3983"/>
      <c r="AT346" s="4030"/>
      <c r="AU346" s="4030" t="str">
        <f>IF(T346="","",T346)</f>
        <v>Добавить значение признака дифференциации</v>
      </c>
      <c r="AV346" s="4030"/>
      <c r="AW346" s="4030"/>
      <c r="AX346" s="3916">
        <v>0</v>
      </c>
    </row>
    <row s="11898" customFormat="1" customHeight="1" ht="21">
      <c r="A347" s="4017"/>
      <c r="B347" s="4017"/>
      <c r="C347" s="4017"/>
      <c r="D347" s="4017"/>
      <c r="E347" s="4018"/>
      <c r="F347" s="4018" t="s">
        <v>166</v>
      </c>
      <c r="G347" s="4018"/>
      <c r="H347" s="4018"/>
      <c r="I347" s="4020"/>
      <c r="J347" s="4017"/>
      <c r="K347" s="4017"/>
      <c r="L347" s="4021"/>
      <c r="M347" s="4022"/>
      <c r="N347" s="4022"/>
      <c r="O347" s="4022"/>
      <c r="P347" s="4023"/>
      <c r="Q347" s="4023"/>
      <c r="R347" s="4039"/>
      <c r="S347" s="6424"/>
      <c r="T347" s="6425" t="s">
        <v>540</v>
      </c>
      <c r="U347" s="6426"/>
      <c r="V347" s="6427"/>
      <c r="W347" s="6428"/>
      <c r="X347" s="6429"/>
      <c r="Y347" s="6430"/>
      <c r="Z347" s="6431"/>
      <c r="AA347" s="6432"/>
      <c r="AB347" s="6433"/>
      <c r="AC347" s="6434"/>
      <c r="AD347" s="6435"/>
      <c r="AE347" s="6436"/>
      <c r="AF347" s="6437"/>
      <c r="AG347" s="6438"/>
      <c r="AH347" s="6439"/>
      <c r="AI347" s="6440"/>
      <c r="AJ347" s="6441"/>
      <c r="AK347" s="6442"/>
      <c r="AL347" s="6443"/>
      <c r="AM347" s="6444"/>
      <c r="AN347" s="6445"/>
      <c r="AO347" s="6446"/>
      <c r="AP347" s="6447"/>
      <c r="AQ347" s="6448"/>
      <c r="AR347" s="6449"/>
      <c r="AS347" s="3983"/>
      <c r="AT347" s="4030"/>
      <c r="AU347" s="4030" t="str">
        <f>IF(T347="","",T347)</f>
        <v>Добавить группу потребителей</v>
      </c>
      <c r="AV347" s="4030"/>
      <c r="AW347" s="4030"/>
      <c r="AX347" s="3916">
        <v>0</v>
      </c>
    </row>
    <row s="11925" customFormat="1" customHeight="1" ht="14.25">
      <c r="A348" s="4017"/>
      <c r="B348" s="4017"/>
      <c r="C348" s="4017"/>
      <c r="D348" s="4017"/>
      <c r="E348" s="4018"/>
      <c r="F348" s="4018" t="s">
        <v>166</v>
      </c>
      <c r="G348" s="4018"/>
      <c r="H348" s="4110"/>
      <c r="I348" s="4017"/>
      <c r="J348" s="4017"/>
      <c r="K348" s="4017"/>
      <c r="L348" s="4021"/>
      <c r="M348" s="4111"/>
      <c r="N348" s="4111"/>
      <c r="O348" s="3973"/>
      <c r="P348" s="4239"/>
      <c r="Q348" s="4240"/>
      <c r="R348" s="4241"/>
      <c r="S348" s="6451"/>
      <c r="T348" s="6452" t="s">
        <v>613</v>
      </c>
      <c r="U348" s="6453"/>
      <c r="V348" s="6454"/>
      <c r="W348" s="6455"/>
      <c r="X348" s="6456"/>
      <c r="Y348" s="6457"/>
      <c r="Z348" s="6458"/>
      <c r="AA348" s="6459"/>
      <c r="AB348" s="6460"/>
      <c r="AC348" s="6461"/>
      <c r="AD348" s="6462"/>
      <c r="AE348" s="6463"/>
      <c r="AF348" s="6464"/>
      <c r="AG348" s="6465"/>
      <c r="AH348" s="6466"/>
      <c r="AI348" s="6467"/>
      <c r="AJ348" s="6468"/>
      <c r="AK348" s="6469"/>
      <c r="AL348" s="6470"/>
      <c r="AM348" s="6471"/>
      <c r="AN348" s="6472"/>
      <c r="AO348" s="6473"/>
      <c r="AP348" s="6474"/>
      <c r="AQ348" s="6475"/>
      <c r="AR348" s="6476"/>
      <c r="AS348" s="3983"/>
      <c r="AT348" s="4030"/>
      <c r="AU348" s="4030" t="str">
        <f>IF(T348="","",T348)</f>
        <v>Добавить наименование признака дифференциации</v>
      </c>
      <c r="AV348" s="4030"/>
      <c r="AW348" s="4030"/>
      <c r="AX348" s="3916">
        <v>0</v>
      </c>
    </row>
    <row s="11952" customFormat="1" customHeight="1" ht="14.25">
      <c r="A349" s="4269"/>
      <c r="B349" s="4269"/>
      <c r="C349" s="4269"/>
      <c r="D349" s="4269"/>
      <c r="E349" s="4018"/>
      <c r="F349" s="4110" t="s">
        <v>166</v>
      </c>
      <c r="G349" s="4269"/>
      <c r="H349" s="4269"/>
      <c r="I349" s="4269"/>
      <c r="J349" s="4269"/>
      <c r="K349" s="4269"/>
      <c r="L349" s="4270"/>
      <c r="M349" s="4271"/>
      <c r="N349" s="4271"/>
      <c r="O349" s="3983"/>
      <c r="P349" s="4272"/>
      <c r="Q349" s="4273"/>
      <c r="R349" s="4272"/>
      <c r="S349" s="4274"/>
      <c r="T349" s="4275" t="s">
        <v>298</v>
      </c>
      <c r="U349" s="3971"/>
      <c r="V349" s="3971"/>
      <c r="W349" s="3971"/>
      <c r="X349" s="3971"/>
      <c r="Y349" s="3971"/>
      <c r="Z349" s="3971"/>
      <c r="AA349" s="3971"/>
      <c r="AB349" s="3971"/>
      <c r="AC349" s="3971"/>
      <c r="AD349" s="3971"/>
      <c r="AE349" s="3971"/>
      <c r="AF349" s="3971"/>
      <c r="AG349" s="3971"/>
      <c r="AH349" s="3971"/>
      <c r="AI349" s="3971"/>
      <c r="AJ349" s="3971"/>
      <c r="AK349" s="3971"/>
      <c r="AL349" s="3971"/>
      <c r="AM349" s="3971"/>
      <c r="AN349" s="3971"/>
      <c r="AO349" s="3971"/>
      <c r="AP349" s="3971"/>
      <c r="AQ349" s="3971"/>
      <c r="AR349" s="3971"/>
      <c r="AS349" s="3983"/>
      <c r="AT349" s="4030"/>
      <c r="AU349" s="4030" t="str">
        <f>IF(T349="","",T349)</f>
        <v>Добавить централизованную систему для дифференциации</v>
      </c>
      <c r="AV349" s="4030"/>
      <c r="AW349" s="4030"/>
      <c r="AX349" s="3983">
        <v>0</v>
      </c>
    </row>
    <row s="11953" customFormat="1" customHeight="1" ht="23.25">
      <c r="A350" s="4017"/>
      <c r="B350" s="4017" t="s">
        <v>349</v>
      </c>
      <c r="C350" s="4017"/>
      <c r="D350" s="4017"/>
      <c r="E350" s="4018"/>
      <c r="F350" s="4110" t="s">
        <v>176</v>
      </c>
      <c r="G350" s="4017"/>
      <c r="H350" s="4017"/>
      <c r="I350" s="4017"/>
      <c r="J350" s="4017"/>
      <c r="K350" s="4017"/>
      <c r="L350" s="4021"/>
      <c r="M350" s="4111"/>
      <c r="N350" s="4111"/>
      <c r="O350" s="4111"/>
      <c r="P350" s="4112"/>
      <c r="Q350" s="4113"/>
      <c r="R350" s="4114"/>
      <c r="S350" s="4026" t="str">
        <f>INDEX(PT_DIFFERENTIATION_NUM_TER,MATCH(B350,PT_DIFFERENTIATION_TER_ID,0))</f>
        <v>1.17</v>
      </c>
      <c r="T350" s="4115" t="s">
        <v>525</v>
      </c>
      <c r="U350" s="4028"/>
      <c r="V350" s="3918"/>
      <c r="W350" s="3919"/>
      <c r="X350" s="3919"/>
      <c r="Y350" s="3919"/>
      <c r="Z350" s="3919"/>
      <c r="AA350" s="3919"/>
      <c r="AB350" s="3920"/>
      <c r="AC350" s="3918" t="str">
        <f>INDEX(PT_DIFFERENTIATION_TER,MATCH(B350,PT_DIFFERENTIATION_TER_ID,0))</f>
        <v>Территория 17</v>
      </c>
      <c r="AD350" s="3919"/>
      <c r="AE350" s="3919"/>
      <c r="AF350" s="3919"/>
      <c r="AG350" s="3919"/>
      <c r="AH350" s="3919"/>
      <c r="AI350" s="3919"/>
      <c r="AJ350" s="3918"/>
      <c r="AK350" s="3919"/>
      <c r="AL350" s="3919"/>
      <c r="AM350" s="3919"/>
      <c r="AN350" s="3919"/>
      <c r="AO350" s="3919"/>
      <c r="AP350" s="3920"/>
      <c r="AQ350" s="3920"/>
      <c r="AR350" s="4065" t="s">
        <v>526</v>
      </c>
      <c r="AS350" s="3983"/>
      <c r="AT350" s="4030"/>
      <c r="AU350" s="4030" t="str">
        <f>IF(T350="","",T350)</f>
        <v>Территория действия тарифа</v>
      </c>
      <c r="AV350" s="4030"/>
      <c r="AW350" s="4030"/>
      <c r="AX350" s="3916">
        <v>0</v>
      </c>
    </row>
    <row s="11954" customFormat="1" customHeight="1" ht="23.25">
      <c r="A351" s="4017"/>
      <c r="B351" s="4017"/>
      <c r="C351" s="4017" t="s">
        <v>350</v>
      </c>
      <c r="D351" s="4017"/>
      <c r="E351" s="4018"/>
      <c r="F351" s="4018" t="s">
        <v>171</v>
      </c>
      <c r="G351" s="4110">
        <v>1</v>
      </c>
      <c r="H351" s="4017"/>
      <c r="I351" s="4017"/>
      <c r="J351" s="4017"/>
      <c r="K351" s="4017"/>
      <c r="L351" s="4021"/>
      <c r="M351" s="4111"/>
      <c r="N351" s="4111"/>
      <c r="O351" s="4111"/>
      <c r="P351" s="4117"/>
      <c r="Q351" s="4113"/>
      <c r="R351" s="4114"/>
      <c r="S351" s="4026" t="str">
        <f>INDEX(PT_DIFFERENTIATION_NUM_CS,MATCH(C351,PT_DIFFERENTIATION_CS_ID,0))</f>
        <v>1.17.1</v>
      </c>
      <c r="T351" s="4118" t="s">
        <v>606</v>
      </c>
      <c r="U351" s="4028"/>
      <c r="V351" s="3918"/>
      <c r="W351" s="3919"/>
      <c r="X351" s="3919"/>
      <c r="Y351" s="3919"/>
      <c r="Z351" s="3919"/>
      <c r="AA351" s="3919"/>
      <c r="AB351" s="3920"/>
      <c r="AC351" s="3918" t="str">
        <f>INDEX(PT_DIFFERENTIATION_CS,MATCH(C351,PT_DIFFERENTIATION_CS_ID,0))</f>
        <v>п. Искра</v>
      </c>
      <c r="AD351" s="3919"/>
      <c r="AE351" s="3919"/>
      <c r="AF351" s="3919"/>
      <c r="AG351" s="3919"/>
      <c r="AH351" s="3919"/>
      <c r="AI351" s="3919"/>
      <c r="AJ351" s="3918"/>
      <c r="AK351" s="3919"/>
      <c r="AL351" s="3919"/>
      <c r="AM351" s="3919"/>
      <c r="AN351" s="3919"/>
      <c r="AO351" s="3919"/>
      <c r="AP351" s="3920"/>
      <c r="AQ351" s="3920"/>
      <c r="AR351" s="4065" t="s">
        <v>607</v>
      </c>
      <c r="AS351" s="3983"/>
      <c r="AT351" s="4030"/>
      <c r="AU351" s="4030" t="str">
        <f>IF(T351="","",T351)</f>
        <v>Наименование централизованной системы холодного водоснабжения</v>
      </c>
      <c r="AV351" s="4030"/>
      <c r="AW351" s="4030"/>
      <c r="AX351" s="3916">
        <v>0</v>
      </c>
    </row>
    <row s="11955" customFormat="1" customHeight="1" ht="23.25">
      <c r="A352" s="4017"/>
      <c r="B352" s="4017"/>
      <c r="C352" s="4017"/>
      <c r="D352" s="4017"/>
      <c r="E352" s="4018"/>
      <c r="F352" s="4018" t="s">
        <v>171</v>
      </c>
      <c r="G352" s="4018"/>
      <c r="H352" s="4018"/>
      <c r="I352" s="4020" t="str">
        <f>S351&amp;".1"</f>
        <v>1.17.1.1</v>
      </c>
      <c r="J352" s="4017"/>
      <c r="K352" s="4017"/>
      <c r="L352" s="4021"/>
      <c r="M352" s="4022"/>
      <c r="N352" s="4022"/>
      <c r="O352" s="4022"/>
      <c r="P352" s="4023">
        <v>1</v>
      </c>
      <c r="Q352" s="4023"/>
      <c r="R352" s="4039"/>
      <c r="S352" s="4026" t="str">
        <f>$I352</f>
        <v>1.17.1.1</v>
      </c>
      <c r="T352" s="4120" t="s">
        <v>608</v>
      </c>
      <c r="U352" s="4028"/>
      <c r="V352" s="3928"/>
      <c r="W352" s="3929"/>
      <c r="X352" s="3929"/>
      <c r="Y352" s="3929"/>
      <c r="Z352" s="3929"/>
      <c r="AA352" s="3929"/>
      <c r="AB352" s="3930"/>
      <c r="AC352" s="4121"/>
      <c r="AD352" s="4122"/>
      <c r="AE352" s="4122"/>
      <c r="AF352" s="4122"/>
      <c r="AG352" s="4122"/>
      <c r="AH352" s="4122"/>
      <c r="AI352" s="4122"/>
      <c r="AJ352" s="3928"/>
      <c r="AK352" s="3929"/>
      <c r="AL352" s="3929"/>
      <c r="AM352" s="3929"/>
      <c r="AN352" s="3929"/>
      <c r="AO352" s="3929"/>
      <c r="AP352" s="3930"/>
      <c r="AQ352" s="4123"/>
      <c r="AR352" s="4065" t="s">
        <v>609</v>
      </c>
      <c r="AS352" s="3983"/>
      <c r="AT352" s="4030"/>
      <c r="AU352" s="4030" t="str">
        <f>IF(T352="","",T352)</f>
        <v>Наименование признака дифференциации</v>
      </c>
      <c r="AV352" s="4030"/>
      <c r="AW352" s="4030"/>
      <c r="AX352" s="3916">
        <v>0</v>
      </c>
    </row>
    <row s="11956" customFormat="1" customHeight="1" ht="23.25">
      <c r="A353" s="4017"/>
      <c r="B353" s="4017"/>
      <c r="C353" s="4017"/>
      <c r="D353" s="4017"/>
      <c r="E353" s="4018"/>
      <c r="F353" s="4018" t="s">
        <v>171</v>
      </c>
      <c r="G353" s="4018"/>
      <c r="H353" s="4018"/>
      <c r="I353" s="4019"/>
      <c r="J353" s="4020" t="str">
        <f>I352&amp;".1"</f>
        <v>1.17.1.1.1</v>
      </c>
      <c r="K353" s="4017"/>
      <c r="L353" s="4021" t="s">
        <v>534</v>
      </c>
      <c r="M353" s="4022"/>
      <c r="N353" s="4022"/>
      <c r="O353" s="4022"/>
      <c r="P353" s="4023"/>
      <c r="Q353" s="4023">
        <v>1</v>
      </c>
      <c r="R353" s="4025"/>
      <c r="S353" s="4026" t="str">
        <f>$J353</f>
        <v>1.17.1.1.1</v>
      </c>
      <c r="T353" s="4027" t="s">
        <v>535</v>
      </c>
      <c r="U353" s="4028"/>
      <c r="V353" s="3932"/>
      <c r="W353" s="3933"/>
      <c r="X353" s="3933"/>
      <c r="Y353" s="3933"/>
      <c r="Z353" s="3933"/>
      <c r="AA353" s="3933"/>
      <c r="AB353" s="3934"/>
      <c r="AC353" s="3932" t="s">
        <v>621</v>
      </c>
      <c r="AD353" s="3933"/>
      <c r="AE353" s="3933"/>
      <c r="AF353" s="3933"/>
      <c r="AG353" s="3933"/>
      <c r="AH353" s="3933"/>
      <c r="AI353" s="3933"/>
      <c r="AJ353" s="3932"/>
      <c r="AK353" s="3933"/>
      <c r="AL353" s="3933"/>
      <c r="AM353" s="3933"/>
      <c r="AN353" s="3933"/>
      <c r="AO353" s="3933"/>
      <c r="AP353" s="3934"/>
      <c r="AQ353" s="3934"/>
      <c r="AR353" s="4029" t="s">
        <v>610</v>
      </c>
      <c r="AS353" s="3983"/>
      <c r="AT353" s="4030"/>
      <c r="AU353" s="4030" t="str">
        <f>IF(T353="","",T353)</f>
        <v>Группа потребителей</v>
      </c>
      <c r="AV353" s="4030"/>
      <c r="AW353" s="4030"/>
      <c r="AX353" s="3916">
        <v>0</v>
      </c>
    </row>
    <row s="11957" customFormat="1" customHeight="1" ht="23.25">
      <c r="A354" s="4017"/>
      <c r="B354" s="4017"/>
      <c r="C354" s="4017"/>
      <c r="D354" s="4017"/>
      <c r="E354" s="4018"/>
      <c r="F354" s="4018" t="s">
        <v>171</v>
      </c>
      <c r="G354" s="4018"/>
      <c r="H354" s="4018"/>
      <c r="I354" s="4019"/>
      <c r="J354" s="4019"/>
      <c r="K354" s="4020" t="str">
        <f>J353&amp;".1"</f>
        <v>1.17.1.1.1.1</v>
      </c>
      <c r="L354" s="4021"/>
      <c r="M354" s="4022"/>
      <c r="N354" s="4022"/>
      <c r="O354" s="4022"/>
      <c r="P354" s="4023"/>
      <c r="Q354" s="4023"/>
      <c r="R354" s="4025">
        <v>1</v>
      </c>
      <c r="S354" s="4026" t="str">
        <f>$K354</f>
        <v>1.17.1.1.1.1</v>
      </c>
      <c r="T354" s="4032"/>
      <c r="U354" s="4028"/>
      <c r="V354" s="3936"/>
      <c r="W354" s="3936"/>
      <c r="X354" s="3937"/>
      <c r="Y354" s="3938"/>
      <c r="Z354" s="3939" t="s">
        <v>66</v>
      </c>
      <c r="AA354" s="3938"/>
      <c r="AB354" s="3939" t="s">
        <v>66</v>
      </c>
      <c r="AC354" s="3936">
        <v>29.88</v>
      </c>
      <c r="AD354" s="3936"/>
      <c r="AE354" s="3937"/>
      <c r="AF354" s="3938">
        <v>45658</v>
      </c>
      <c r="AG354" s="3939" t="s">
        <v>66</v>
      </c>
      <c r="AH354" s="4006">
        <v>45838</v>
      </c>
      <c r="AI354" s="3939" t="s">
        <v>66</v>
      </c>
      <c r="AJ354" s="3936">
        <v>32.27</v>
      </c>
      <c r="AK354" s="3936"/>
      <c r="AL354" s="3937"/>
      <c r="AM354" s="3938">
        <v>45839</v>
      </c>
      <c r="AN354" s="3939" t="s">
        <v>66</v>
      </c>
      <c r="AO354" s="3938">
        <v>46022</v>
      </c>
      <c r="AP354" s="3939" t="s">
        <v>66</v>
      </c>
      <c r="AQ354" s="4033"/>
      <c r="AR354" s="4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354" s="3983">
        <f>STRCHECKDATE(V355:AQ355)</f>
      </c>
      <c r="AT354" s="4030"/>
      <c r="AU354" s="4030" t="str">
        <f>IF(T354="","",T354)</f>
        <v/>
      </c>
      <c r="AV354" s="4030"/>
      <c r="AW354" s="4030"/>
      <c r="AX354" s="3916">
        <v>0</v>
      </c>
    </row>
    <row s="11958" customFormat="1" customHeight="1" ht="14.25">
      <c r="A355" s="4017"/>
      <c r="B355" s="4017"/>
      <c r="C355" s="4017"/>
      <c r="D355" s="4017"/>
      <c r="E355" s="4018"/>
      <c r="F355" s="4018" t="s">
        <v>171</v>
      </c>
      <c r="G355" s="4018"/>
      <c r="H355" s="4018"/>
      <c r="I355" s="4019"/>
      <c r="J355" s="4019"/>
      <c r="K355" s="4020"/>
      <c r="L355" s="4021"/>
      <c r="M355" s="4022"/>
      <c r="N355" s="4022"/>
      <c r="O355" s="4022"/>
      <c r="P355" s="4023"/>
      <c r="Q355" s="4023"/>
      <c r="R355" s="4025"/>
      <c r="S355" s="4036"/>
      <c r="T355" s="4028"/>
      <c r="U355" s="4028"/>
      <c r="V355" s="3943"/>
      <c r="W355" s="3943"/>
      <c r="X355" s="3944" t="str">
        <f>Y354&amp;"-"&amp;AA354</f>
        <v>-</v>
      </c>
      <c r="Y355" s="3945"/>
      <c r="Z355" s="3939"/>
      <c r="AA355" s="3945"/>
      <c r="AB355" s="3939"/>
      <c r="AC355" s="3943"/>
      <c r="AD355" s="3943"/>
      <c r="AE355" s="3944" t="str">
        <f>AF354&amp;"-"&amp;AH354</f>
        <v>45658-45838</v>
      </c>
      <c r="AF355" s="3945"/>
      <c r="AG355" s="3939"/>
      <c r="AH355" s="4008"/>
      <c r="AI355" s="3939"/>
      <c r="AJ355" s="3943"/>
      <c r="AK355" s="3943"/>
      <c r="AL355" s="3944" t="str">
        <f>AM354&amp;"-"&amp;AO354</f>
        <v>45839-46022</v>
      </c>
      <c r="AM355" s="3945"/>
      <c r="AN355" s="3939"/>
      <c r="AO355" s="3945"/>
      <c r="AP355" s="3939"/>
      <c r="AQ355" s="4037"/>
      <c r="AR355" s="4034"/>
      <c r="AS355" s="3983"/>
      <c r="AT355" s="4030"/>
      <c r="AU355" s="4030" t="str">
        <f>IF(T355="","",T355)</f>
        <v/>
      </c>
      <c r="AV355" s="4030"/>
      <c r="AW355" s="4030"/>
      <c r="AX355" s="3916">
        <v>0</v>
      </c>
    </row>
    <row s="11959" customFormat="1" customHeight="1" ht="21">
      <c r="A356" s="4017"/>
      <c r="B356" s="4017"/>
      <c r="C356" s="4017"/>
      <c r="D356" s="4017"/>
      <c r="E356" s="4018"/>
      <c r="F356" s="4018" t="s">
        <v>171</v>
      </c>
      <c r="G356" s="4018"/>
      <c r="H356" s="4018"/>
      <c r="I356" s="4019"/>
      <c r="J356" s="4020"/>
      <c r="K356" s="4017"/>
      <c r="L356" s="4021"/>
      <c r="M356" s="4022"/>
      <c r="N356" s="4022"/>
      <c r="O356" s="4022"/>
      <c r="P356" s="4023"/>
      <c r="Q356" s="4023"/>
      <c r="R356" s="4039"/>
      <c r="S356" s="6485"/>
      <c r="T356" s="6486" t="s">
        <v>611</v>
      </c>
      <c r="U356" s="6487"/>
      <c r="V356" s="6488"/>
      <c r="W356" s="6489"/>
      <c r="X356" s="6490"/>
      <c r="Y356" s="6491"/>
      <c r="Z356" s="6492"/>
      <c r="AA356" s="6493"/>
      <c r="AB356" s="6494"/>
      <c r="AC356" s="6495"/>
      <c r="AD356" s="6496"/>
      <c r="AE356" s="6497"/>
      <c r="AF356" s="6498"/>
      <c r="AG356" s="6499"/>
      <c r="AH356" s="6500"/>
      <c r="AI356" s="6501"/>
      <c r="AJ356" s="6502"/>
      <c r="AK356" s="6503"/>
      <c r="AL356" s="6504"/>
      <c r="AM356" s="6505"/>
      <c r="AN356" s="6506"/>
      <c r="AO356" s="6507"/>
      <c r="AP356" s="6508"/>
      <c r="AQ356" s="6509"/>
      <c r="AR356" s="4065" t="s">
        <v>612</v>
      </c>
      <c r="AS356" s="3983"/>
      <c r="AT356" s="4030"/>
      <c r="AU356" s="4030" t="str">
        <f>IF(T356="","",T356)</f>
        <v>Добавить значение признака дифференциации</v>
      </c>
      <c r="AV356" s="4030"/>
      <c r="AW356" s="4030"/>
      <c r="AX356" s="3916">
        <v>0</v>
      </c>
    </row>
    <row s="11985" customFormat="1" customHeight="1" ht="23.25">
      <c r="A357" s="4017"/>
      <c r="B357" s="4017"/>
      <c r="C357" s="4017"/>
      <c r="D357" s="4017"/>
      <c r="E357" s="4018"/>
      <c r="F357" s="4018"/>
      <c r="G357" s="4018"/>
      <c r="H357" s="4018"/>
      <c r="I357" s="4019"/>
      <c r="J357" s="4020" t="str">
        <f>I352&amp;".2"</f>
        <v>1.17.1.1.2</v>
      </c>
      <c r="K357" s="4017"/>
      <c r="L357" s="4021" t="s">
        <v>534</v>
      </c>
      <c r="M357" s="4022"/>
      <c r="N357" s="4022"/>
      <c r="O357" s="4022"/>
      <c r="P357" s="4023"/>
      <c r="Q357" s="4024" t="s">
        <v>105</v>
      </c>
      <c r="R357" s="4025"/>
      <c r="S357" s="4026" t="str">
        <f>$J357</f>
        <v>1.17.1.1.2</v>
      </c>
      <c r="T357" s="4027" t="s">
        <v>535</v>
      </c>
      <c r="U357" s="4028"/>
      <c r="V357" s="3932"/>
      <c r="W357" s="3933"/>
      <c r="X357" s="3933"/>
      <c r="Y357" s="3933"/>
      <c r="Z357" s="3933"/>
      <c r="AA357" s="3933"/>
      <c r="AB357" s="3934"/>
      <c r="AC357" s="3932" t="s">
        <v>622</v>
      </c>
      <c r="AD357" s="3933"/>
      <c r="AE357" s="3933"/>
      <c r="AF357" s="3933"/>
      <c r="AG357" s="3933"/>
      <c r="AH357" s="3933"/>
      <c r="AI357" s="3933"/>
      <c r="AJ357" s="3932"/>
      <c r="AK357" s="3933"/>
      <c r="AL357" s="3933"/>
      <c r="AM357" s="3933"/>
      <c r="AN357" s="3933"/>
      <c r="AO357" s="3933"/>
      <c r="AP357" s="3934"/>
      <c r="AQ357" s="3934"/>
      <c r="AR357" s="4029" t="s">
        <v>610</v>
      </c>
      <c r="AS357" s="3983"/>
      <c r="AT357" s="4030"/>
      <c r="AU357" s="4030" t="str">
        <f>IF(T357="","",T357)</f>
        <v>Группа потребителей</v>
      </c>
      <c r="AV357" s="4030"/>
      <c r="AW357" s="4030"/>
      <c r="AX357" s="3916">
        <v>0</v>
      </c>
    </row>
    <row s="11986" customFormat="1" customHeight="1" ht="23.25">
      <c r="A358" s="4017"/>
      <c r="B358" s="4017"/>
      <c r="C358" s="4017"/>
      <c r="D358" s="4017"/>
      <c r="E358" s="4018"/>
      <c r="F358" s="4018"/>
      <c r="G358" s="4018"/>
      <c r="H358" s="4018"/>
      <c r="I358" s="4019"/>
      <c r="J358" s="4019" t="str">
        <f>I352&amp;".1"</f>
        <v>1.17.1.1.1</v>
      </c>
      <c r="K358" s="4020" t="str">
        <f>J357&amp;".1"</f>
        <v>1.17.1.1.2.1</v>
      </c>
      <c r="L358" s="4021"/>
      <c r="M358" s="4022"/>
      <c r="N358" s="4022"/>
      <c r="O358" s="4022"/>
      <c r="P358" s="4023"/>
      <c r="Q358" s="4023"/>
      <c r="R358" s="4025">
        <v>1</v>
      </c>
      <c r="S358" s="4026" t="str">
        <f>$K358</f>
        <v>1.17.1.1.2.1</v>
      </c>
      <c r="T358" s="4032"/>
      <c r="U358" s="4028"/>
      <c r="V358" s="3936"/>
      <c r="W358" s="3936"/>
      <c r="X358" s="3937"/>
      <c r="Y358" s="3938"/>
      <c r="Z358" s="3939" t="s">
        <v>66</v>
      </c>
      <c r="AA358" s="3938"/>
      <c r="AB358" s="3939" t="s">
        <v>66</v>
      </c>
      <c r="AC358" s="3936">
        <v>45.28</v>
      </c>
      <c r="AD358" s="3936"/>
      <c r="AE358" s="3937"/>
      <c r="AF358" s="3938">
        <v>45658</v>
      </c>
      <c r="AG358" s="3939" t="s">
        <v>66</v>
      </c>
      <c r="AH358" s="4006">
        <v>45838</v>
      </c>
      <c r="AI358" s="3939" t="s">
        <v>66</v>
      </c>
      <c r="AJ358" s="3936">
        <v>59.92</v>
      </c>
      <c r="AK358" s="3936"/>
      <c r="AL358" s="3937"/>
      <c r="AM358" s="3938">
        <v>45839</v>
      </c>
      <c r="AN358" s="3939" t="s">
        <v>66</v>
      </c>
      <c r="AO358" s="3938">
        <v>46022</v>
      </c>
      <c r="AP358" s="3939" t="s">
        <v>66</v>
      </c>
      <c r="AQ358" s="4033"/>
      <c r="AR358" s="4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358" s="3983">
        <f>STRCHECKDATE(V359:AQ359)</f>
      </c>
      <c r="AT358" s="4030"/>
      <c r="AU358" s="4030" t="str">
        <f>IF(T358="","",T358)</f>
        <v/>
      </c>
      <c r="AV358" s="4030"/>
      <c r="AW358" s="4030"/>
      <c r="AX358" s="3916">
        <v>0</v>
      </c>
    </row>
    <row s="11987" customFormat="1" customHeight="1" ht="14.25">
      <c r="A359" s="4017"/>
      <c r="B359" s="4017"/>
      <c r="C359" s="4017"/>
      <c r="D359" s="4017"/>
      <c r="E359" s="4018"/>
      <c r="F359" s="4018"/>
      <c r="G359" s="4018"/>
      <c r="H359" s="4018"/>
      <c r="I359" s="4019"/>
      <c r="J359" s="4019" t="str">
        <f>I352&amp;".1"</f>
        <v>1.17.1.1.1</v>
      </c>
      <c r="K359" s="4020"/>
      <c r="L359" s="4021"/>
      <c r="M359" s="4022"/>
      <c r="N359" s="4022"/>
      <c r="O359" s="4022"/>
      <c r="P359" s="4023"/>
      <c r="Q359" s="4023"/>
      <c r="R359" s="4025"/>
      <c r="S359" s="4036"/>
      <c r="T359" s="4028"/>
      <c r="U359" s="4028"/>
      <c r="V359" s="3943"/>
      <c r="W359" s="3943"/>
      <c r="X359" s="3944" t="str">
        <f>Y358&amp;"-"&amp;AA358</f>
        <v>-</v>
      </c>
      <c r="Y359" s="3945"/>
      <c r="Z359" s="3939"/>
      <c r="AA359" s="3945"/>
      <c r="AB359" s="3939"/>
      <c r="AC359" s="3943"/>
      <c r="AD359" s="3943"/>
      <c r="AE359" s="3944" t="str">
        <f>AF358&amp;"-"&amp;AH358</f>
        <v>45658-45838</v>
      </c>
      <c r="AF359" s="3945"/>
      <c r="AG359" s="3939"/>
      <c r="AH359" s="4008"/>
      <c r="AI359" s="3939"/>
      <c r="AJ359" s="3943"/>
      <c r="AK359" s="3943"/>
      <c r="AL359" s="3944" t="str">
        <f>AM358&amp;"-"&amp;AO358</f>
        <v>45839-46022</v>
      </c>
      <c r="AM359" s="3945"/>
      <c r="AN359" s="3939"/>
      <c r="AO359" s="3945"/>
      <c r="AP359" s="3939"/>
      <c r="AQ359" s="4037"/>
      <c r="AR359" s="4034"/>
      <c r="AS359" s="3983"/>
      <c r="AT359" s="4030"/>
      <c r="AU359" s="4030" t="str">
        <f>IF(T359="","",T359)</f>
        <v/>
      </c>
      <c r="AV359" s="4030"/>
      <c r="AW359" s="4030"/>
      <c r="AX359" s="3916">
        <v>0</v>
      </c>
    </row>
    <row s="11988" customFormat="1" customHeight="1" ht="21">
      <c r="A360" s="4017"/>
      <c r="B360" s="4017"/>
      <c r="C360" s="4017"/>
      <c r="D360" s="4017"/>
      <c r="E360" s="4018"/>
      <c r="F360" s="4018"/>
      <c r="G360" s="4018"/>
      <c r="H360" s="4018"/>
      <c r="I360" s="4019"/>
      <c r="J360" s="4020" t="str">
        <f>I352&amp;".1"</f>
        <v>1.17.1.1.1</v>
      </c>
      <c r="K360" s="4017"/>
      <c r="L360" s="4021"/>
      <c r="M360" s="4022"/>
      <c r="N360" s="4022"/>
      <c r="O360" s="4022"/>
      <c r="P360" s="4023"/>
      <c r="Q360" s="4023"/>
      <c r="R360" s="4039"/>
      <c r="S360" s="6514"/>
      <c r="T360" s="6515" t="s">
        <v>611</v>
      </c>
      <c r="U360" s="6516"/>
      <c r="V360" s="6517"/>
      <c r="W360" s="6518"/>
      <c r="X360" s="6519"/>
      <c r="Y360" s="6520"/>
      <c r="Z360" s="6521"/>
      <c r="AA360" s="6522"/>
      <c r="AB360" s="6523"/>
      <c r="AC360" s="6524"/>
      <c r="AD360" s="6525"/>
      <c r="AE360" s="6526"/>
      <c r="AF360" s="6527"/>
      <c r="AG360" s="6528"/>
      <c r="AH360" s="6529"/>
      <c r="AI360" s="6530"/>
      <c r="AJ360" s="6531"/>
      <c r="AK360" s="6532"/>
      <c r="AL360" s="6533"/>
      <c r="AM360" s="6534"/>
      <c r="AN360" s="6535"/>
      <c r="AO360" s="6536"/>
      <c r="AP360" s="6537"/>
      <c r="AQ360" s="6538"/>
      <c r="AR360" s="4065" t="s">
        <v>612</v>
      </c>
      <c r="AS360" s="3983"/>
      <c r="AT360" s="4030"/>
      <c r="AU360" s="4030" t="str">
        <f>IF(T360="","",T360)</f>
        <v>Добавить значение признака дифференциации</v>
      </c>
      <c r="AV360" s="4030"/>
      <c r="AW360" s="4030"/>
      <c r="AX360" s="3916">
        <v>0</v>
      </c>
    </row>
    <row s="12014" customFormat="1" customHeight="1" ht="23.25">
      <c r="A361" s="4017"/>
      <c r="B361" s="4017"/>
      <c r="C361" s="4017"/>
      <c r="D361" s="4017"/>
      <c r="E361" s="4018"/>
      <c r="F361" s="4018"/>
      <c r="G361" s="4018"/>
      <c r="H361" s="4018"/>
      <c r="I361" s="4019"/>
      <c r="J361" s="4020" t="str">
        <f>I352&amp;".3"</f>
        <v>1.17.1.1.3</v>
      </c>
      <c r="K361" s="4017"/>
      <c r="L361" s="4021" t="s">
        <v>534</v>
      </c>
      <c r="M361" s="4022"/>
      <c r="N361" s="4022"/>
      <c r="O361" s="4022"/>
      <c r="P361" s="4023"/>
      <c r="Q361" s="4024" t="s">
        <v>105</v>
      </c>
      <c r="R361" s="4025"/>
      <c r="S361" s="4026" t="str">
        <f>$J361</f>
        <v>1.17.1.1.3</v>
      </c>
      <c r="T361" s="4027" t="s">
        <v>535</v>
      </c>
      <c r="U361" s="4028"/>
      <c r="V361" s="3932"/>
      <c r="W361" s="3933"/>
      <c r="X361" s="3933"/>
      <c r="Y361" s="3933"/>
      <c r="Z361" s="3933"/>
      <c r="AA361" s="3933"/>
      <c r="AB361" s="3934"/>
      <c r="AC361" s="3932" t="s">
        <v>623</v>
      </c>
      <c r="AD361" s="3933"/>
      <c r="AE361" s="3933"/>
      <c r="AF361" s="3933"/>
      <c r="AG361" s="3933"/>
      <c r="AH361" s="3933"/>
      <c r="AI361" s="3933"/>
      <c r="AJ361" s="3932"/>
      <c r="AK361" s="3933"/>
      <c r="AL361" s="3933"/>
      <c r="AM361" s="3933"/>
      <c r="AN361" s="3933"/>
      <c r="AO361" s="3933"/>
      <c r="AP361" s="3934"/>
      <c r="AQ361" s="3934"/>
      <c r="AR361" s="4029" t="s">
        <v>610</v>
      </c>
      <c r="AS361" s="3983"/>
      <c r="AT361" s="4030"/>
      <c r="AU361" s="4030" t="str">
        <f>IF(T361="","",T361)</f>
        <v>Группа потребителей</v>
      </c>
      <c r="AV361" s="4030"/>
      <c r="AW361" s="4030"/>
      <c r="AX361" s="3916">
        <v>0</v>
      </c>
    </row>
    <row s="12015" customFormat="1" customHeight="1" ht="23.25">
      <c r="A362" s="4017"/>
      <c r="B362" s="4017"/>
      <c r="C362" s="4017"/>
      <c r="D362" s="4017"/>
      <c r="E362" s="4018"/>
      <c r="F362" s="4018"/>
      <c r="G362" s="4018"/>
      <c r="H362" s="4018"/>
      <c r="I362" s="4019"/>
      <c r="J362" s="4019" t="str">
        <f>I352&amp;".2"</f>
        <v>1.17.1.1.2</v>
      </c>
      <c r="K362" s="4020" t="str">
        <f>J361&amp;".1"</f>
        <v>1.17.1.1.3.1</v>
      </c>
      <c r="L362" s="4021"/>
      <c r="M362" s="4022"/>
      <c r="N362" s="4022"/>
      <c r="O362" s="4022"/>
      <c r="P362" s="4023"/>
      <c r="Q362" s="4023"/>
      <c r="R362" s="4025">
        <v>1</v>
      </c>
      <c r="S362" s="4026" t="str">
        <f>$K362</f>
        <v>1.17.1.1.3.1</v>
      </c>
      <c r="T362" s="4032"/>
      <c r="U362" s="4028"/>
      <c r="V362" s="3936"/>
      <c r="W362" s="3936"/>
      <c r="X362" s="3937"/>
      <c r="Y362" s="3938"/>
      <c r="Z362" s="3939" t="s">
        <v>66</v>
      </c>
      <c r="AA362" s="3938"/>
      <c r="AB362" s="3939" t="s">
        <v>66</v>
      </c>
      <c r="AC362" s="3936">
        <v>45.28</v>
      </c>
      <c r="AD362" s="3936"/>
      <c r="AE362" s="3937"/>
      <c r="AF362" s="3938">
        <v>45658</v>
      </c>
      <c r="AG362" s="3939" t="s">
        <v>66</v>
      </c>
      <c r="AH362" s="4006">
        <v>45838</v>
      </c>
      <c r="AI362" s="3939" t="s">
        <v>66</v>
      </c>
      <c r="AJ362" s="3936">
        <v>59.92</v>
      </c>
      <c r="AK362" s="3936"/>
      <c r="AL362" s="3937"/>
      <c r="AM362" s="3938">
        <v>45839</v>
      </c>
      <c r="AN362" s="3939" t="s">
        <v>66</v>
      </c>
      <c r="AO362" s="3938">
        <v>46022</v>
      </c>
      <c r="AP362" s="3939" t="s">
        <v>66</v>
      </c>
      <c r="AQ362" s="4033"/>
      <c r="AR362" s="4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362" s="3983">
        <f>STRCHECKDATE(V363:AQ363)</f>
      </c>
      <c r="AT362" s="4030"/>
      <c r="AU362" s="4030" t="str">
        <f>IF(T362="","",T362)</f>
        <v/>
      </c>
      <c r="AV362" s="4030"/>
      <c r="AW362" s="4030"/>
      <c r="AX362" s="3916">
        <v>0</v>
      </c>
    </row>
    <row s="12016" customFormat="1" customHeight="1" ht="14.25">
      <c r="A363" s="4017"/>
      <c r="B363" s="4017"/>
      <c r="C363" s="4017"/>
      <c r="D363" s="4017"/>
      <c r="E363" s="4018"/>
      <c r="F363" s="4018"/>
      <c r="G363" s="4018"/>
      <c r="H363" s="4018"/>
      <c r="I363" s="4019"/>
      <c r="J363" s="4019" t="str">
        <f>I352&amp;".2"</f>
        <v>1.17.1.1.2</v>
      </c>
      <c r="K363" s="4020"/>
      <c r="L363" s="4021"/>
      <c r="M363" s="4022"/>
      <c r="N363" s="4022"/>
      <c r="O363" s="4022"/>
      <c r="P363" s="4023"/>
      <c r="Q363" s="4023"/>
      <c r="R363" s="4025"/>
      <c r="S363" s="4036"/>
      <c r="T363" s="4028"/>
      <c r="U363" s="4028"/>
      <c r="V363" s="3943"/>
      <c r="W363" s="3943"/>
      <c r="X363" s="3944" t="str">
        <f>Y362&amp;"-"&amp;AA362</f>
        <v>-</v>
      </c>
      <c r="Y363" s="3945"/>
      <c r="Z363" s="3939"/>
      <c r="AA363" s="3945"/>
      <c r="AB363" s="3939"/>
      <c r="AC363" s="3943"/>
      <c r="AD363" s="3943"/>
      <c r="AE363" s="3944" t="str">
        <f>AF362&amp;"-"&amp;AH362</f>
        <v>45658-45838</v>
      </c>
      <c r="AF363" s="3945"/>
      <c r="AG363" s="3939"/>
      <c r="AH363" s="4008"/>
      <c r="AI363" s="3939"/>
      <c r="AJ363" s="3943"/>
      <c r="AK363" s="3943"/>
      <c r="AL363" s="3944" t="str">
        <f>AM362&amp;"-"&amp;AO362</f>
        <v>45839-46022</v>
      </c>
      <c r="AM363" s="3945"/>
      <c r="AN363" s="3939"/>
      <c r="AO363" s="3945"/>
      <c r="AP363" s="3939"/>
      <c r="AQ363" s="4037"/>
      <c r="AR363" s="4034"/>
      <c r="AS363" s="3983"/>
      <c r="AT363" s="4030"/>
      <c r="AU363" s="4030" t="str">
        <f>IF(T363="","",T363)</f>
        <v/>
      </c>
      <c r="AV363" s="4030"/>
      <c r="AW363" s="4030"/>
      <c r="AX363" s="3916">
        <v>0</v>
      </c>
    </row>
    <row s="12017" customFormat="1" customHeight="1" ht="21">
      <c r="A364" s="4017"/>
      <c r="B364" s="4017"/>
      <c r="C364" s="4017"/>
      <c r="D364" s="4017"/>
      <c r="E364" s="4018"/>
      <c r="F364" s="4018"/>
      <c r="G364" s="4018"/>
      <c r="H364" s="4018"/>
      <c r="I364" s="4019"/>
      <c r="J364" s="4020" t="str">
        <f>I352&amp;".2"</f>
        <v>1.17.1.1.2</v>
      </c>
      <c r="K364" s="4017"/>
      <c r="L364" s="4021"/>
      <c r="M364" s="4022"/>
      <c r="N364" s="4022"/>
      <c r="O364" s="4022"/>
      <c r="P364" s="4023"/>
      <c r="Q364" s="4023"/>
      <c r="R364" s="4039"/>
      <c r="S364" s="6543"/>
      <c r="T364" s="6544" t="s">
        <v>611</v>
      </c>
      <c r="U364" s="6545"/>
      <c r="V364" s="6546"/>
      <c r="W364" s="6547"/>
      <c r="X364" s="6548"/>
      <c r="Y364" s="6549"/>
      <c r="Z364" s="6550"/>
      <c r="AA364" s="6551"/>
      <c r="AB364" s="6552"/>
      <c r="AC364" s="6553"/>
      <c r="AD364" s="6554"/>
      <c r="AE364" s="6555"/>
      <c r="AF364" s="6556"/>
      <c r="AG364" s="6557"/>
      <c r="AH364" s="6558"/>
      <c r="AI364" s="6559"/>
      <c r="AJ364" s="6560"/>
      <c r="AK364" s="6561"/>
      <c r="AL364" s="6562"/>
      <c r="AM364" s="6563"/>
      <c r="AN364" s="6564"/>
      <c r="AO364" s="6565"/>
      <c r="AP364" s="6566"/>
      <c r="AQ364" s="6567"/>
      <c r="AR364" s="4065" t="s">
        <v>612</v>
      </c>
      <c r="AS364" s="3983"/>
      <c r="AT364" s="4030"/>
      <c r="AU364" s="4030" t="str">
        <f>IF(T364="","",T364)</f>
        <v>Добавить значение признака дифференциации</v>
      </c>
      <c r="AV364" s="4030"/>
      <c r="AW364" s="4030"/>
      <c r="AX364" s="3916">
        <v>0</v>
      </c>
    </row>
    <row s="12043" customFormat="1" customHeight="1" ht="21">
      <c r="A365" s="4017"/>
      <c r="B365" s="4017"/>
      <c r="C365" s="4017"/>
      <c r="D365" s="4017"/>
      <c r="E365" s="4018"/>
      <c r="F365" s="4018" t="s">
        <v>171</v>
      </c>
      <c r="G365" s="4018"/>
      <c r="H365" s="4018"/>
      <c r="I365" s="4020"/>
      <c r="J365" s="4017"/>
      <c r="K365" s="4017"/>
      <c r="L365" s="4021"/>
      <c r="M365" s="4022"/>
      <c r="N365" s="4022"/>
      <c r="O365" s="4022"/>
      <c r="P365" s="4023"/>
      <c r="Q365" s="4023"/>
      <c r="R365" s="4039"/>
      <c r="S365" s="6569"/>
      <c r="T365" s="6570" t="s">
        <v>540</v>
      </c>
      <c r="U365" s="6571"/>
      <c r="V365" s="6572"/>
      <c r="W365" s="6573"/>
      <c r="X365" s="6574"/>
      <c r="Y365" s="6575"/>
      <c r="Z365" s="6576"/>
      <c r="AA365" s="6577"/>
      <c r="AB365" s="6578"/>
      <c r="AC365" s="6579"/>
      <c r="AD365" s="6580"/>
      <c r="AE365" s="6581"/>
      <c r="AF365" s="6582"/>
      <c r="AG365" s="6583"/>
      <c r="AH365" s="6584"/>
      <c r="AI365" s="6585"/>
      <c r="AJ365" s="6586"/>
      <c r="AK365" s="6587"/>
      <c r="AL365" s="6588"/>
      <c r="AM365" s="6589"/>
      <c r="AN365" s="6590"/>
      <c r="AO365" s="6591"/>
      <c r="AP365" s="6592"/>
      <c r="AQ365" s="6593"/>
      <c r="AR365" s="6594"/>
      <c r="AS365" s="3983"/>
      <c r="AT365" s="4030"/>
      <c r="AU365" s="4030" t="str">
        <f>IF(T365="","",T365)</f>
        <v>Добавить группу потребителей</v>
      </c>
      <c r="AV365" s="4030"/>
      <c r="AW365" s="4030"/>
      <c r="AX365" s="3916">
        <v>0</v>
      </c>
    </row>
    <row s="12070" customFormat="1" customHeight="1" ht="14.25">
      <c r="A366" s="4017"/>
      <c r="B366" s="4017"/>
      <c r="C366" s="4017"/>
      <c r="D366" s="4017"/>
      <c r="E366" s="4018"/>
      <c r="F366" s="4018" t="s">
        <v>171</v>
      </c>
      <c r="G366" s="4018"/>
      <c r="H366" s="4110"/>
      <c r="I366" s="4017"/>
      <c r="J366" s="4017"/>
      <c r="K366" s="4017"/>
      <c r="L366" s="4021"/>
      <c r="M366" s="4111"/>
      <c r="N366" s="4111"/>
      <c r="O366" s="3973"/>
      <c r="P366" s="4239"/>
      <c r="Q366" s="4240"/>
      <c r="R366" s="4241"/>
      <c r="S366" s="6596"/>
      <c r="T366" s="6597" t="s">
        <v>613</v>
      </c>
      <c r="U366" s="6598"/>
      <c r="V366" s="6599"/>
      <c r="W366" s="6600"/>
      <c r="X366" s="6601"/>
      <c r="Y366" s="6602"/>
      <c r="Z366" s="6603"/>
      <c r="AA366" s="6604"/>
      <c r="AB366" s="6605"/>
      <c r="AC366" s="6606"/>
      <c r="AD366" s="6607"/>
      <c r="AE366" s="6608"/>
      <c r="AF366" s="6609"/>
      <c r="AG366" s="6610"/>
      <c r="AH366" s="6611"/>
      <c r="AI366" s="6612"/>
      <c r="AJ366" s="6613"/>
      <c r="AK366" s="6614"/>
      <c r="AL366" s="6615"/>
      <c r="AM366" s="6616"/>
      <c r="AN366" s="6617"/>
      <c r="AO366" s="6618"/>
      <c r="AP366" s="6619"/>
      <c r="AQ366" s="6620"/>
      <c r="AR366" s="6621"/>
      <c r="AS366" s="3983"/>
      <c r="AT366" s="4030"/>
      <c r="AU366" s="4030" t="str">
        <f>IF(T366="","",T366)</f>
        <v>Добавить наименование признака дифференциации</v>
      </c>
      <c r="AV366" s="4030"/>
      <c r="AW366" s="4030"/>
      <c r="AX366" s="3916">
        <v>0</v>
      </c>
    </row>
    <row s="12097" customFormat="1" customHeight="1" ht="23.25">
      <c r="A367" s="4017"/>
      <c r="B367" s="4017"/>
      <c r="C367" s="4017" t="s">
        <v>353</v>
      </c>
      <c r="D367" s="4017"/>
      <c r="E367" s="4018"/>
      <c r="F367" s="4018"/>
      <c r="G367" s="4110" t="s">
        <v>104</v>
      </c>
      <c r="H367" s="4017"/>
      <c r="I367" s="4017"/>
      <c r="J367" s="4017"/>
      <c r="K367" s="4017"/>
      <c r="L367" s="4021"/>
      <c r="M367" s="4111"/>
      <c r="N367" s="4111"/>
      <c r="O367" s="4111"/>
      <c r="P367" s="4117"/>
      <c r="Q367" s="4113"/>
      <c r="R367" s="4114"/>
      <c r="S367" s="4026" t="str">
        <f>INDEX(PT_DIFFERENTIATION_NUM_CS,MATCH(C367,PT_DIFFERENTIATION_CS_ID,0))</f>
        <v>1.17.2</v>
      </c>
      <c r="T367" s="4118" t="s">
        <v>606</v>
      </c>
      <c r="U367" s="4028"/>
      <c r="V367" s="3918"/>
      <c r="W367" s="3919"/>
      <c r="X367" s="3919"/>
      <c r="Y367" s="3919"/>
      <c r="Z367" s="3919"/>
      <c r="AA367" s="3919"/>
      <c r="AB367" s="3920"/>
      <c r="AC367" s="3918" t="str">
        <f>INDEX(PT_DIFFERENTIATION_CS,MATCH(C367,PT_DIFFERENTIATION_CS_ID,0))</f>
        <v>кроме п. Искра</v>
      </c>
      <c r="AD367" s="3919"/>
      <c r="AE367" s="3919"/>
      <c r="AF367" s="3919"/>
      <c r="AG367" s="3919"/>
      <c r="AH367" s="3919"/>
      <c r="AI367" s="3919"/>
      <c r="AJ367" s="3918"/>
      <c r="AK367" s="3919"/>
      <c r="AL367" s="3919"/>
      <c r="AM367" s="3919"/>
      <c r="AN367" s="3919"/>
      <c r="AO367" s="3919"/>
      <c r="AP367" s="3920"/>
      <c r="AQ367" s="3920"/>
      <c r="AR367" s="4065" t="s">
        <v>607</v>
      </c>
      <c r="AS367" s="3983"/>
      <c r="AT367" s="4030"/>
      <c r="AU367" s="4030" t="str">
        <f>IF(T367="","",T367)</f>
        <v>Наименование централизованной системы холодного водоснабжения</v>
      </c>
      <c r="AV367" s="4030"/>
      <c r="AW367" s="4030"/>
      <c r="AX367" s="3916">
        <v>0</v>
      </c>
    </row>
    <row s="12098" customFormat="1" customHeight="1" ht="23.25">
      <c r="A368" s="4017"/>
      <c r="B368" s="4017"/>
      <c r="C368" s="4017"/>
      <c r="D368" s="4017"/>
      <c r="E368" s="4018"/>
      <c r="F368" s="4018"/>
      <c r="G368" s="4018">
        <v>1</v>
      </c>
      <c r="H368" s="4018"/>
      <c r="I368" s="4020" t="str">
        <f>S367&amp;".1"</f>
        <v>1.17.2.1</v>
      </c>
      <c r="J368" s="4017"/>
      <c r="K368" s="4017"/>
      <c r="L368" s="4021"/>
      <c r="M368" s="4022"/>
      <c r="N368" s="4022"/>
      <c r="O368" s="4022"/>
      <c r="P368" s="4023">
        <v>1</v>
      </c>
      <c r="Q368" s="4023"/>
      <c r="R368" s="4039"/>
      <c r="S368" s="4026" t="str">
        <f>$I368</f>
        <v>1.17.2.1</v>
      </c>
      <c r="T368" s="4120" t="s">
        <v>608</v>
      </c>
      <c r="U368" s="4028"/>
      <c r="V368" s="3928"/>
      <c r="W368" s="3929"/>
      <c r="X368" s="3929"/>
      <c r="Y368" s="3929"/>
      <c r="Z368" s="3929"/>
      <c r="AA368" s="3929"/>
      <c r="AB368" s="3930"/>
      <c r="AC368" s="4121"/>
      <c r="AD368" s="4122"/>
      <c r="AE368" s="4122"/>
      <c r="AF368" s="4122"/>
      <c r="AG368" s="4122"/>
      <c r="AH368" s="4122"/>
      <c r="AI368" s="4122"/>
      <c r="AJ368" s="3928"/>
      <c r="AK368" s="3929"/>
      <c r="AL368" s="3929"/>
      <c r="AM368" s="3929"/>
      <c r="AN368" s="3929"/>
      <c r="AO368" s="3929"/>
      <c r="AP368" s="3930"/>
      <c r="AQ368" s="4123"/>
      <c r="AR368" s="4065" t="s">
        <v>609</v>
      </c>
      <c r="AS368" s="3983"/>
      <c r="AT368" s="4030"/>
      <c r="AU368" s="4030" t="str">
        <f>IF(T368="","",T368)</f>
        <v>Наименование признака дифференциации</v>
      </c>
      <c r="AV368" s="4030"/>
      <c r="AW368" s="4030"/>
      <c r="AX368" s="3916">
        <v>0</v>
      </c>
    </row>
    <row s="12099" customFormat="1" customHeight="1" ht="23.25">
      <c r="A369" s="4017"/>
      <c r="B369" s="4017"/>
      <c r="C369" s="4017"/>
      <c r="D369" s="4017"/>
      <c r="E369" s="4018"/>
      <c r="F369" s="4018"/>
      <c r="G369" s="4018">
        <v>1</v>
      </c>
      <c r="H369" s="4018"/>
      <c r="I369" s="4019"/>
      <c r="J369" s="4020" t="str">
        <f>I368&amp;".1"</f>
        <v>1.17.2.1.1</v>
      </c>
      <c r="K369" s="4017"/>
      <c r="L369" s="4021" t="s">
        <v>534</v>
      </c>
      <c r="M369" s="4022"/>
      <c r="N369" s="4022"/>
      <c r="O369" s="4022"/>
      <c r="P369" s="4023"/>
      <c r="Q369" s="4023">
        <v>1</v>
      </c>
      <c r="R369" s="4025"/>
      <c r="S369" s="4026" t="str">
        <f>$J369</f>
        <v>1.17.2.1.1</v>
      </c>
      <c r="T369" s="4027" t="s">
        <v>535</v>
      </c>
      <c r="U369" s="4028"/>
      <c r="V369" s="3932"/>
      <c r="W369" s="3933"/>
      <c r="X369" s="3933"/>
      <c r="Y369" s="3933"/>
      <c r="Z369" s="3933"/>
      <c r="AA369" s="3933"/>
      <c r="AB369" s="3934"/>
      <c r="AC369" s="3932" t="s">
        <v>621</v>
      </c>
      <c r="AD369" s="3933"/>
      <c r="AE369" s="3933"/>
      <c r="AF369" s="3933"/>
      <c r="AG369" s="3933"/>
      <c r="AH369" s="3933"/>
      <c r="AI369" s="3933"/>
      <c r="AJ369" s="3932"/>
      <c r="AK369" s="3933"/>
      <c r="AL369" s="3933"/>
      <c r="AM369" s="3933"/>
      <c r="AN369" s="3933"/>
      <c r="AO369" s="3933"/>
      <c r="AP369" s="3934"/>
      <c r="AQ369" s="3934"/>
      <c r="AR369" s="4029" t="s">
        <v>610</v>
      </c>
      <c r="AS369" s="3983"/>
      <c r="AT369" s="4030"/>
      <c r="AU369" s="4030" t="str">
        <f>IF(T369="","",T369)</f>
        <v>Группа потребителей</v>
      </c>
      <c r="AV369" s="4030"/>
      <c r="AW369" s="4030"/>
      <c r="AX369" s="3916">
        <v>0</v>
      </c>
    </row>
    <row s="12100" customFormat="1" customHeight="1" ht="23.25">
      <c r="A370" s="4017"/>
      <c r="B370" s="4017"/>
      <c r="C370" s="4017"/>
      <c r="D370" s="4017"/>
      <c r="E370" s="4018"/>
      <c r="F370" s="4018"/>
      <c r="G370" s="4018">
        <v>1</v>
      </c>
      <c r="H370" s="4018"/>
      <c r="I370" s="4019"/>
      <c r="J370" s="4019"/>
      <c r="K370" s="4020" t="str">
        <f>J369&amp;".1"</f>
        <v>1.17.2.1.1.1</v>
      </c>
      <c r="L370" s="4021"/>
      <c r="M370" s="4022"/>
      <c r="N370" s="4022"/>
      <c r="O370" s="4022"/>
      <c r="P370" s="4023"/>
      <c r="Q370" s="4023"/>
      <c r="R370" s="4025">
        <v>1</v>
      </c>
      <c r="S370" s="4026" t="str">
        <f>$K370</f>
        <v>1.17.2.1.1.1</v>
      </c>
      <c r="T370" s="4032"/>
      <c r="U370" s="4028"/>
      <c r="V370" s="3936"/>
      <c r="W370" s="3936"/>
      <c r="X370" s="3937"/>
      <c r="Y370" s="3938"/>
      <c r="Z370" s="3939" t="s">
        <v>66</v>
      </c>
      <c r="AA370" s="3938"/>
      <c r="AB370" s="3939" t="s">
        <v>66</v>
      </c>
      <c r="AC370" s="3936">
        <v>35.81</v>
      </c>
      <c r="AD370" s="3936"/>
      <c r="AE370" s="3937"/>
      <c r="AF370" s="3938">
        <v>45658</v>
      </c>
      <c r="AG370" s="3939" t="s">
        <v>66</v>
      </c>
      <c r="AH370" s="4006">
        <v>45838</v>
      </c>
      <c r="AI370" s="3939" t="s">
        <v>66</v>
      </c>
      <c r="AJ370" s="3936">
        <v>38.67</v>
      </c>
      <c r="AK370" s="3936"/>
      <c r="AL370" s="3937"/>
      <c r="AM370" s="3938">
        <v>45839</v>
      </c>
      <c r="AN370" s="3939" t="s">
        <v>66</v>
      </c>
      <c r="AO370" s="3938">
        <v>46022</v>
      </c>
      <c r="AP370" s="3939" t="s">
        <v>66</v>
      </c>
      <c r="AQ370" s="4033"/>
      <c r="AR370" s="4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370" s="3983">
        <f>STRCHECKDATE(V371:AQ371)</f>
      </c>
      <c r="AT370" s="4030"/>
      <c r="AU370" s="4030" t="str">
        <f>IF(T370="","",T370)</f>
        <v/>
      </c>
      <c r="AV370" s="4030"/>
      <c r="AW370" s="4030"/>
      <c r="AX370" s="3916">
        <v>0</v>
      </c>
    </row>
    <row s="12101" customFormat="1" customHeight="1" ht="14.25">
      <c r="A371" s="4017"/>
      <c r="B371" s="4017"/>
      <c r="C371" s="4017"/>
      <c r="D371" s="4017"/>
      <c r="E371" s="4018"/>
      <c r="F371" s="4018"/>
      <c r="G371" s="4018">
        <v>1</v>
      </c>
      <c r="H371" s="4018"/>
      <c r="I371" s="4019"/>
      <c r="J371" s="4019"/>
      <c r="K371" s="4020"/>
      <c r="L371" s="4021"/>
      <c r="M371" s="4022"/>
      <c r="N371" s="4022"/>
      <c r="O371" s="4022"/>
      <c r="P371" s="4023"/>
      <c r="Q371" s="4023"/>
      <c r="R371" s="4025"/>
      <c r="S371" s="4036"/>
      <c r="T371" s="4028"/>
      <c r="U371" s="4028"/>
      <c r="V371" s="3943"/>
      <c r="W371" s="3943"/>
      <c r="X371" s="3944" t="str">
        <f>Y370&amp;"-"&amp;AA370</f>
        <v>-</v>
      </c>
      <c r="Y371" s="3945"/>
      <c r="Z371" s="3939"/>
      <c r="AA371" s="3945"/>
      <c r="AB371" s="3939"/>
      <c r="AC371" s="3943"/>
      <c r="AD371" s="3943"/>
      <c r="AE371" s="3944" t="str">
        <f>AF370&amp;"-"&amp;AH370</f>
        <v>45658-45838</v>
      </c>
      <c r="AF371" s="3945"/>
      <c r="AG371" s="3939"/>
      <c r="AH371" s="4008"/>
      <c r="AI371" s="3939"/>
      <c r="AJ371" s="3943"/>
      <c r="AK371" s="3943"/>
      <c r="AL371" s="3944" t="str">
        <f>AM370&amp;"-"&amp;AO370</f>
        <v>45839-46022</v>
      </c>
      <c r="AM371" s="3945"/>
      <c r="AN371" s="3939"/>
      <c r="AO371" s="3945"/>
      <c r="AP371" s="3939"/>
      <c r="AQ371" s="4037"/>
      <c r="AR371" s="4034"/>
      <c r="AS371" s="3983"/>
      <c r="AT371" s="4030"/>
      <c r="AU371" s="4030" t="str">
        <f>IF(T371="","",T371)</f>
        <v/>
      </c>
      <c r="AV371" s="4030"/>
      <c r="AW371" s="4030"/>
      <c r="AX371" s="3916">
        <v>0</v>
      </c>
    </row>
    <row s="12102" customFormat="1" customHeight="1" ht="21">
      <c r="A372" s="4017"/>
      <c r="B372" s="4017"/>
      <c r="C372" s="4017"/>
      <c r="D372" s="4017"/>
      <c r="E372" s="4018"/>
      <c r="F372" s="4018"/>
      <c r="G372" s="4018">
        <v>1</v>
      </c>
      <c r="H372" s="4018"/>
      <c r="I372" s="4019"/>
      <c r="J372" s="4020"/>
      <c r="K372" s="4017"/>
      <c r="L372" s="4021"/>
      <c r="M372" s="4022"/>
      <c r="N372" s="4022"/>
      <c r="O372" s="4022"/>
      <c r="P372" s="4023"/>
      <c r="Q372" s="4023"/>
      <c r="R372" s="4039"/>
      <c r="S372" s="6628"/>
      <c r="T372" s="6629" t="s">
        <v>611</v>
      </c>
      <c r="U372" s="6630"/>
      <c r="V372" s="6631"/>
      <c r="W372" s="6632"/>
      <c r="X372" s="6633"/>
      <c r="Y372" s="6634"/>
      <c r="Z372" s="6635"/>
      <c r="AA372" s="6636"/>
      <c r="AB372" s="6637"/>
      <c r="AC372" s="6638"/>
      <c r="AD372" s="6639"/>
      <c r="AE372" s="6640"/>
      <c r="AF372" s="6641"/>
      <c r="AG372" s="6642"/>
      <c r="AH372" s="6643"/>
      <c r="AI372" s="6644"/>
      <c r="AJ372" s="6645"/>
      <c r="AK372" s="6646"/>
      <c r="AL372" s="6647"/>
      <c r="AM372" s="6648"/>
      <c r="AN372" s="6649"/>
      <c r="AO372" s="6650"/>
      <c r="AP372" s="6651"/>
      <c r="AQ372" s="6652"/>
      <c r="AR372" s="4065" t="s">
        <v>612</v>
      </c>
      <c r="AS372" s="3983"/>
      <c r="AT372" s="4030"/>
      <c r="AU372" s="4030" t="str">
        <f>IF(T372="","",T372)</f>
        <v>Добавить значение признака дифференциации</v>
      </c>
      <c r="AV372" s="4030"/>
      <c r="AW372" s="4030"/>
      <c r="AX372" s="3916">
        <v>0</v>
      </c>
    </row>
    <row s="12128" customFormat="1" customHeight="1" ht="23.25">
      <c r="A373" s="4017"/>
      <c r="B373" s="4017"/>
      <c r="C373" s="4017"/>
      <c r="D373" s="4017"/>
      <c r="E373" s="4018"/>
      <c r="F373" s="4018"/>
      <c r="G373" s="4018"/>
      <c r="H373" s="4018"/>
      <c r="I373" s="4019"/>
      <c r="J373" s="4020" t="str">
        <f>I368&amp;".2"</f>
        <v>1.17.2.1.2</v>
      </c>
      <c r="K373" s="4017"/>
      <c r="L373" s="4021" t="s">
        <v>534</v>
      </c>
      <c r="M373" s="4022"/>
      <c r="N373" s="4022"/>
      <c r="O373" s="4022"/>
      <c r="P373" s="4023"/>
      <c r="Q373" s="4024" t="s">
        <v>105</v>
      </c>
      <c r="R373" s="4025"/>
      <c r="S373" s="4026" t="str">
        <f>$J373</f>
        <v>1.17.2.1.2</v>
      </c>
      <c r="T373" s="4027" t="s">
        <v>535</v>
      </c>
      <c r="U373" s="4028"/>
      <c r="V373" s="3932"/>
      <c r="W373" s="3933"/>
      <c r="X373" s="3933"/>
      <c r="Y373" s="3933"/>
      <c r="Z373" s="3933"/>
      <c r="AA373" s="3933"/>
      <c r="AB373" s="3934"/>
      <c r="AC373" s="3932" t="s">
        <v>622</v>
      </c>
      <c r="AD373" s="3933"/>
      <c r="AE373" s="3933"/>
      <c r="AF373" s="3933"/>
      <c r="AG373" s="3933"/>
      <c r="AH373" s="3933"/>
      <c r="AI373" s="3933"/>
      <c r="AJ373" s="3932"/>
      <c r="AK373" s="3933"/>
      <c r="AL373" s="3933"/>
      <c r="AM373" s="3933"/>
      <c r="AN373" s="3933"/>
      <c r="AO373" s="3933"/>
      <c r="AP373" s="3934"/>
      <c r="AQ373" s="3934"/>
      <c r="AR373" s="4029" t="s">
        <v>610</v>
      </c>
      <c r="AS373" s="3983"/>
      <c r="AT373" s="4030"/>
      <c r="AU373" s="4030" t="str">
        <f>IF(T373="","",T373)</f>
        <v>Группа потребителей</v>
      </c>
      <c r="AV373" s="4030"/>
      <c r="AW373" s="4030"/>
      <c r="AX373" s="3916">
        <v>0</v>
      </c>
    </row>
    <row s="12129" customFormat="1" customHeight="1" ht="23.25">
      <c r="A374" s="4017"/>
      <c r="B374" s="4017"/>
      <c r="C374" s="4017"/>
      <c r="D374" s="4017"/>
      <c r="E374" s="4018"/>
      <c r="F374" s="4018"/>
      <c r="G374" s="4018"/>
      <c r="H374" s="4018"/>
      <c r="I374" s="4019"/>
      <c r="J374" s="4019" t="str">
        <f>I368&amp;".1"</f>
        <v>1.17.2.1.1</v>
      </c>
      <c r="K374" s="4020" t="str">
        <f>J373&amp;".1"</f>
        <v>1.17.2.1.2.1</v>
      </c>
      <c r="L374" s="4021"/>
      <c r="M374" s="4022"/>
      <c r="N374" s="4022"/>
      <c r="O374" s="4022"/>
      <c r="P374" s="4023"/>
      <c r="Q374" s="4023"/>
      <c r="R374" s="4025">
        <v>1</v>
      </c>
      <c r="S374" s="4026" t="str">
        <f>$K374</f>
        <v>1.17.2.1.2.1</v>
      </c>
      <c r="T374" s="4032"/>
      <c r="U374" s="4028"/>
      <c r="V374" s="3936"/>
      <c r="W374" s="3936"/>
      <c r="X374" s="3937"/>
      <c r="Y374" s="3938"/>
      <c r="Z374" s="3939" t="s">
        <v>66</v>
      </c>
      <c r="AA374" s="3938"/>
      <c r="AB374" s="3939" t="s">
        <v>66</v>
      </c>
      <c r="AC374" s="3936">
        <v>45.28</v>
      </c>
      <c r="AD374" s="3936"/>
      <c r="AE374" s="3937"/>
      <c r="AF374" s="3938">
        <v>45658</v>
      </c>
      <c r="AG374" s="3939" t="s">
        <v>66</v>
      </c>
      <c r="AH374" s="4006">
        <v>45838</v>
      </c>
      <c r="AI374" s="3939" t="s">
        <v>66</v>
      </c>
      <c r="AJ374" s="3936">
        <v>59.92</v>
      </c>
      <c r="AK374" s="3936"/>
      <c r="AL374" s="3937"/>
      <c r="AM374" s="3938">
        <v>45839</v>
      </c>
      <c r="AN374" s="3939" t="s">
        <v>66</v>
      </c>
      <c r="AO374" s="3938">
        <v>46022</v>
      </c>
      <c r="AP374" s="3939" t="s">
        <v>66</v>
      </c>
      <c r="AQ374" s="4033"/>
      <c r="AR374" s="4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374" s="3983">
        <f>STRCHECKDATE(V375:AQ375)</f>
      </c>
      <c r="AT374" s="4030"/>
      <c r="AU374" s="4030" t="str">
        <f>IF(T374="","",T374)</f>
        <v/>
      </c>
      <c r="AV374" s="4030"/>
      <c r="AW374" s="4030"/>
      <c r="AX374" s="3916">
        <v>0</v>
      </c>
    </row>
    <row s="12130" customFormat="1" customHeight="1" ht="14.25">
      <c r="A375" s="4017"/>
      <c r="B375" s="4017"/>
      <c r="C375" s="4017"/>
      <c r="D375" s="4017"/>
      <c r="E375" s="4018"/>
      <c r="F375" s="4018"/>
      <c r="G375" s="4018"/>
      <c r="H375" s="4018"/>
      <c r="I375" s="4019"/>
      <c r="J375" s="4019" t="str">
        <f>I368&amp;".1"</f>
        <v>1.17.2.1.1</v>
      </c>
      <c r="K375" s="4020"/>
      <c r="L375" s="4021"/>
      <c r="M375" s="4022"/>
      <c r="N375" s="4022"/>
      <c r="O375" s="4022"/>
      <c r="P375" s="4023"/>
      <c r="Q375" s="4023"/>
      <c r="R375" s="4025"/>
      <c r="S375" s="4036"/>
      <c r="T375" s="4028"/>
      <c r="U375" s="4028"/>
      <c r="V375" s="3943"/>
      <c r="W375" s="3943"/>
      <c r="X375" s="3944" t="str">
        <f>Y374&amp;"-"&amp;AA374</f>
        <v>-</v>
      </c>
      <c r="Y375" s="3945"/>
      <c r="Z375" s="3939"/>
      <c r="AA375" s="3945"/>
      <c r="AB375" s="3939"/>
      <c r="AC375" s="3943"/>
      <c r="AD375" s="3943"/>
      <c r="AE375" s="3944" t="str">
        <f>AF374&amp;"-"&amp;AH374</f>
        <v>45658-45838</v>
      </c>
      <c r="AF375" s="3945"/>
      <c r="AG375" s="3939"/>
      <c r="AH375" s="4008"/>
      <c r="AI375" s="3939"/>
      <c r="AJ375" s="3943"/>
      <c r="AK375" s="3943"/>
      <c r="AL375" s="3944" t="str">
        <f>AM374&amp;"-"&amp;AO374</f>
        <v>45839-46022</v>
      </c>
      <c r="AM375" s="3945"/>
      <c r="AN375" s="3939"/>
      <c r="AO375" s="3945"/>
      <c r="AP375" s="3939"/>
      <c r="AQ375" s="4037"/>
      <c r="AR375" s="4034"/>
      <c r="AS375" s="3983"/>
      <c r="AT375" s="4030"/>
      <c r="AU375" s="4030" t="str">
        <f>IF(T375="","",T375)</f>
        <v/>
      </c>
      <c r="AV375" s="4030"/>
      <c r="AW375" s="4030"/>
      <c r="AX375" s="3916">
        <v>0</v>
      </c>
    </row>
    <row s="12131" customFormat="1" customHeight="1" ht="21">
      <c r="A376" s="4017"/>
      <c r="B376" s="4017"/>
      <c r="C376" s="4017"/>
      <c r="D376" s="4017"/>
      <c r="E376" s="4018"/>
      <c r="F376" s="4018"/>
      <c r="G376" s="4018"/>
      <c r="H376" s="4018"/>
      <c r="I376" s="4019"/>
      <c r="J376" s="4020" t="str">
        <f>I368&amp;".1"</f>
        <v>1.17.2.1.1</v>
      </c>
      <c r="K376" s="4017"/>
      <c r="L376" s="4021"/>
      <c r="M376" s="4022"/>
      <c r="N376" s="4022"/>
      <c r="O376" s="4022"/>
      <c r="P376" s="4023"/>
      <c r="Q376" s="4023"/>
      <c r="R376" s="4039"/>
      <c r="S376" s="6657"/>
      <c r="T376" s="6658" t="s">
        <v>611</v>
      </c>
      <c r="U376" s="6659"/>
      <c r="V376" s="6660"/>
      <c r="W376" s="6661"/>
      <c r="X376" s="6662"/>
      <c r="Y376" s="6663"/>
      <c r="Z376" s="6664"/>
      <c r="AA376" s="6665"/>
      <c r="AB376" s="6666"/>
      <c r="AC376" s="6667"/>
      <c r="AD376" s="6668"/>
      <c r="AE376" s="6669"/>
      <c r="AF376" s="6670"/>
      <c r="AG376" s="6671"/>
      <c r="AH376" s="6672"/>
      <c r="AI376" s="6673"/>
      <c r="AJ376" s="6674"/>
      <c r="AK376" s="6675"/>
      <c r="AL376" s="6676"/>
      <c r="AM376" s="6677"/>
      <c r="AN376" s="6678"/>
      <c r="AO376" s="6679"/>
      <c r="AP376" s="6680"/>
      <c r="AQ376" s="6681"/>
      <c r="AR376" s="4065" t="s">
        <v>612</v>
      </c>
      <c r="AS376" s="3983"/>
      <c r="AT376" s="4030"/>
      <c r="AU376" s="4030" t="str">
        <f>IF(T376="","",T376)</f>
        <v>Добавить значение признака дифференциации</v>
      </c>
      <c r="AV376" s="4030"/>
      <c r="AW376" s="4030"/>
      <c r="AX376" s="3916">
        <v>0</v>
      </c>
    </row>
    <row s="12157" customFormat="1" customHeight="1" ht="23.25">
      <c r="A377" s="4017"/>
      <c r="B377" s="4017"/>
      <c r="C377" s="4017"/>
      <c r="D377" s="4017"/>
      <c r="E377" s="4018"/>
      <c r="F377" s="4018"/>
      <c r="G377" s="4018"/>
      <c r="H377" s="4018"/>
      <c r="I377" s="4019"/>
      <c r="J377" s="4020" t="str">
        <f>I368&amp;".3"</f>
        <v>1.17.2.1.3</v>
      </c>
      <c r="K377" s="4017"/>
      <c r="L377" s="4021" t="s">
        <v>534</v>
      </c>
      <c r="M377" s="4022"/>
      <c r="N377" s="4022"/>
      <c r="O377" s="4022"/>
      <c r="P377" s="4023"/>
      <c r="Q377" s="4024" t="s">
        <v>105</v>
      </c>
      <c r="R377" s="4025"/>
      <c r="S377" s="4026" t="str">
        <f>$J377</f>
        <v>1.17.2.1.3</v>
      </c>
      <c r="T377" s="4027" t="s">
        <v>535</v>
      </c>
      <c r="U377" s="4028"/>
      <c r="V377" s="3932"/>
      <c r="W377" s="3933"/>
      <c r="X377" s="3933"/>
      <c r="Y377" s="3933"/>
      <c r="Z377" s="3933"/>
      <c r="AA377" s="3933"/>
      <c r="AB377" s="3934"/>
      <c r="AC377" s="3932" t="s">
        <v>623</v>
      </c>
      <c r="AD377" s="3933"/>
      <c r="AE377" s="3933"/>
      <c r="AF377" s="3933"/>
      <c r="AG377" s="3933"/>
      <c r="AH377" s="3933"/>
      <c r="AI377" s="3933"/>
      <c r="AJ377" s="3932"/>
      <c r="AK377" s="3933"/>
      <c r="AL377" s="3933"/>
      <c r="AM377" s="3933"/>
      <c r="AN377" s="3933"/>
      <c r="AO377" s="3933"/>
      <c r="AP377" s="3934"/>
      <c r="AQ377" s="3934"/>
      <c r="AR377" s="4029" t="s">
        <v>610</v>
      </c>
      <c r="AS377" s="3983"/>
      <c r="AT377" s="4030"/>
      <c r="AU377" s="4030" t="str">
        <f>IF(T377="","",T377)</f>
        <v>Группа потребителей</v>
      </c>
      <c r="AV377" s="4030"/>
      <c r="AW377" s="4030"/>
      <c r="AX377" s="3916">
        <v>0</v>
      </c>
    </row>
    <row s="12158" customFormat="1" customHeight="1" ht="23.25">
      <c r="A378" s="4017"/>
      <c r="B378" s="4017"/>
      <c r="C378" s="4017"/>
      <c r="D378" s="4017"/>
      <c r="E378" s="4018"/>
      <c r="F378" s="4018"/>
      <c r="G378" s="4018"/>
      <c r="H378" s="4018"/>
      <c r="I378" s="4019"/>
      <c r="J378" s="4019" t="str">
        <f>I368&amp;".2"</f>
        <v>1.17.2.1.2</v>
      </c>
      <c r="K378" s="4020" t="str">
        <f>J377&amp;".1"</f>
        <v>1.17.2.1.3.1</v>
      </c>
      <c r="L378" s="4021"/>
      <c r="M378" s="4022"/>
      <c r="N378" s="4022"/>
      <c r="O378" s="4022"/>
      <c r="P378" s="4023"/>
      <c r="Q378" s="4023"/>
      <c r="R378" s="4025">
        <v>1</v>
      </c>
      <c r="S378" s="4026" t="str">
        <f>$K378</f>
        <v>1.17.2.1.3.1</v>
      </c>
      <c r="T378" s="4032"/>
      <c r="U378" s="4028"/>
      <c r="V378" s="3936"/>
      <c r="W378" s="3936"/>
      <c r="X378" s="3937"/>
      <c r="Y378" s="3938"/>
      <c r="Z378" s="3939" t="s">
        <v>66</v>
      </c>
      <c r="AA378" s="3938"/>
      <c r="AB378" s="3939" t="s">
        <v>66</v>
      </c>
      <c r="AC378" s="3936">
        <v>45.28</v>
      </c>
      <c r="AD378" s="3936"/>
      <c r="AE378" s="3937"/>
      <c r="AF378" s="3938">
        <v>45658</v>
      </c>
      <c r="AG378" s="3939" t="s">
        <v>66</v>
      </c>
      <c r="AH378" s="4006">
        <v>45838</v>
      </c>
      <c r="AI378" s="3939" t="s">
        <v>66</v>
      </c>
      <c r="AJ378" s="3936">
        <v>59.92</v>
      </c>
      <c r="AK378" s="3936"/>
      <c r="AL378" s="3937"/>
      <c r="AM378" s="3938">
        <v>45839</v>
      </c>
      <c r="AN378" s="3939" t="s">
        <v>66</v>
      </c>
      <c r="AO378" s="3938">
        <v>46022</v>
      </c>
      <c r="AP378" s="3939" t="s">
        <v>66</v>
      </c>
      <c r="AQ378" s="4033"/>
      <c r="AR378" s="4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378" s="3983">
        <f>STRCHECKDATE(V379:AQ379)</f>
      </c>
      <c r="AT378" s="4030"/>
      <c r="AU378" s="4030" t="str">
        <f>IF(T378="","",T378)</f>
        <v/>
      </c>
      <c r="AV378" s="4030"/>
      <c r="AW378" s="4030"/>
      <c r="AX378" s="3916">
        <v>0</v>
      </c>
    </row>
    <row s="12159" customFormat="1" customHeight="1" ht="14.25">
      <c r="A379" s="4017"/>
      <c r="B379" s="4017"/>
      <c r="C379" s="4017"/>
      <c r="D379" s="4017"/>
      <c r="E379" s="4018"/>
      <c r="F379" s="4018"/>
      <c r="G379" s="4018"/>
      <c r="H379" s="4018"/>
      <c r="I379" s="4019"/>
      <c r="J379" s="4019" t="str">
        <f>I368&amp;".2"</f>
        <v>1.17.2.1.2</v>
      </c>
      <c r="K379" s="4020"/>
      <c r="L379" s="4021"/>
      <c r="M379" s="4022"/>
      <c r="N379" s="4022"/>
      <c r="O379" s="4022"/>
      <c r="P379" s="4023"/>
      <c r="Q379" s="4023"/>
      <c r="R379" s="4025"/>
      <c r="S379" s="4036"/>
      <c r="T379" s="4028"/>
      <c r="U379" s="4028"/>
      <c r="V379" s="3943"/>
      <c r="W379" s="3943"/>
      <c r="X379" s="3944" t="str">
        <f>Y378&amp;"-"&amp;AA378</f>
        <v>-</v>
      </c>
      <c r="Y379" s="3945"/>
      <c r="Z379" s="3939"/>
      <c r="AA379" s="3945"/>
      <c r="AB379" s="3939"/>
      <c r="AC379" s="3943"/>
      <c r="AD379" s="3943"/>
      <c r="AE379" s="3944" t="str">
        <f>AF378&amp;"-"&amp;AH378</f>
        <v>45658-45838</v>
      </c>
      <c r="AF379" s="3945"/>
      <c r="AG379" s="3939"/>
      <c r="AH379" s="4008"/>
      <c r="AI379" s="3939"/>
      <c r="AJ379" s="3943"/>
      <c r="AK379" s="3943"/>
      <c r="AL379" s="3944" t="str">
        <f>AM378&amp;"-"&amp;AO378</f>
        <v>45839-46022</v>
      </c>
      <c r="AM379" s="3945"/>
      <c r="AN379" s="3939"/>
      <c r="AO379" s="3945"/>
      <c r="AP379" s="3939"/>
      <c r="AQ379" s="4037"/>
      <c r="AR379" s="4034"/>
      <c r="AS379" s="3983"/>
      <c r="AT379" s="4030"/>
      <c r="AU379" s="4030" t="str">
        <f>IF(T379="","",T379)</f>
        <v/>
      </c>
      <c r="AV379" s="4030"/>
      <c r="AW379" s="4030"/>
      <c r="AX379" s="3916">
        <v>0</v>
      </c>
    </row>
    <row s="12160" customFormat="1" customHeight="1" ht="21">
      <c r="A380" s="4017"/>
      <c r="B380" s="4017"/>
      <c r="C380" s="4017"/>
      <c r="D380" s="4017"/>
      <c r="E380" s="4018"/>
      <c r="F380" s="4018"/>
      <c r="G380" s="4018"/>
      <c r="H380" s="4018"/>
      <c r="I380" s="4019"/>
      <c r="J380" s="4020" t="str">
        <f>I368&amp;".2"</f>
        <v>1.17.2.1.2</v>
      </c>
      <c r="K380" s="4017"/>
      <c r="L380" s="4021"/>
      <c r="M380" s="4022"/>
      <c r="N380" s="4022"/>
      <c r="O380" s="4022"/>
      <c r="P380" s="4023"/>
      <c r="Q380" s="4023"/>
      <c r="R380" s="4039"/>
      <c r="S380" s="6686"/>
      <c r="T380" s="6687" t="s">
        <v>611</v>
      </c>
      <c r="U380" s="6688"/>
      <c r="V380" s="6689"/>
      <c r="W380" s="6690"/>
      <c r="X380" s="6691"/>
      <c r="Y380" s="6692"/>
      <c r="Z380" s="6693"/>
      <c r="AA380" s="6694"/>
      <c r="AB380" s="6695"/>
      <c r="AC380" s="6696"/>
      <c r="AD380" s="6697"/>
      <c r="AE380" s="6698"/>
      <c r="AF380" s="6699"/>
      <c r="AG380" s="6700"/>
      <c r="AH380" s="6701"/>
      <c r="AI380" s="6702"/>
      <c r="AJ380" s="6703"/>
      <c r="AK380" s="6704"/>
      <c r="AL380" s="6705"/>
      <c r="AM380" s="6706"/>
      <c r="AN380" s="6707"/>
      <c r="AO380" s="6708"/>
      <c r="AP380" s="6709"/>
      <c r="AQ380" s="6710"/>
      <c r="AR380" s="4065" t="s">
        <v>612</v>
      </c>
      <c r="AS380" s="3983"/>
      <c r="AT380" s="4030"/>
      <c r="AU380" s="4030" t="str">
        <f>IF(T380="","",T380)</f>
        <v>Добавить значение признака дифференциации</v>
      </c>
      <c r="AV380" s="4030"/>
      <c r="AW380" s="4030"/>
      <c r="AX380" s="3916">
        <v>0</v>
      </c>
    </row>
    <row s="12186" customFormat="1" customHeight="1" ht="21">
      <c r="A381" s="4017"/>
      <c r="B381" s="4017"/>
      <c r="C381" s="4017"/>
      <c r="D381" s="4017"/>
      <c r="E381" s="4018"/>
      <c r="F381" s="4018"/>
      <c r="G381" s="4018">
        <v>1</v>
      </c>
      <c r="H381" s="4018"/>
      <c r="I381" s="4020"/>
      <c r="J381" s="4017"/>
      <c r="K381" s="4017"/>
      <c r="L381" s="4021"/>
      <c r="M381" s="4022"/>
      <c r="N381" s="4022"/>
      <c r="O381" s="4022"/>
      <c r="P381" s="4023"/>
      <c r="Q381" s="4023"/>
      <c r="R381" s="4039"/>
      <c r="S381" s="6712"/>
      <c r="T381" s="6713" t="s">
        <v>540</v>
      </c>
      <c r="U381" s="6714"/>
      <c r="V381" s="6715"/>
      <c r="W381" s="6716"/>
      <c r="X381" s="6717"/>
      <c r="Y381" s="6718"/>
      <c r="Z381" s="6719"/>
      <c r="AA381" s="6720"/>
      <c r="AB381" s="6721"/>
      <c r="AC381" s="6722"/>
      <c r="AD381" s="6723"/>
      <c r="AE381" s="6724"/>
      <c r="AF381" s="6725"/>
      <c r="AG381" s="6726"/>
      <c r="AH381" s="6727"/>
      <c r="AI381" s="6728"/>
      <c r="AJ381" s="6729"/>
      <c r="AK381" s="6730"/>
      <c r="AL381" s="6731"/>
      <c r="AM381" s="6732"/>
      <c r="AN381" s="6733"/>
      <c r="AO381" s="6734"/>
      <c r="AP381" s="6735"/>
      <c r="AQ381" s="6736"/>
      <c r="AR381" s="6737"/>
      <c r="AS381" s="3983"/>
      <c r="AT381" s="4030"/>
      <c r="AU381" s="4030" t="str">
        <f>IF(T381="","",T381)</f>
        <v>Добавить группу потребителей</v>
      </c>
      <c r="AV381" s="4030"/>
      <c r="AW381" s="4030"/>
      <c r="AX381" s="3916">
        <v>0</v>
      </c>
    </row>
    <row s="12213" customFormat="1" customHeight="1" ht="14.25">
      <c r="A382" s="4017"/>
      <c r="B382" s="4017"/>
      <c r="C382" s="4017"/>
      <c r="D382" s="4017"/>
      <c r="E382" s="4018"/>
      <c r="F382" s="4018"/>
      <c r="G382" s="4018">
        <v>1</v>
      </c>
      <c r="H382" s="4110"/>
      <c r="I382" s="4017"/>
      <c r="J382" s="4017"/>
      <c r="K382" s="4017"/>
      <c r="L382" s="4021"/>
      <c r="M382" s="4111"/>
      <c r="N382" s="4111"/>
      <c r="O382" s="3973"/>
      <c r="P382" s="4239"/>
      <c r="Q382" s="4240"/>
      <c r="R382" s="4241"/>
      <c r="S382" s="6739"/>
      <c r="T382" s="6740" t="s">
        <v>613</v>
      </c>
      <c r="U382" s="6741"/>
      <c r="V382" s="6742"/>
      <c r="W382" s="6743"/>
      <c r="X382" s="6744"/>
      <c r="Y382" s="6745"/>
      <c r="Z382" s="6746"/>
      <c r="AA382" s="6747"/>
      <c r="AB382" s="6748"/>
      <c r="AC382" s="6749"/>
      <c r="AD382" s="6750"/>
      <c r="AE382" s="6751"/>
      <c r="AF382" s="6752"/>
      <c r="AG382" s="6753"/>
      <c r="AH382" s="6754"/>
      <c r="AI382" s="6755"/>
      <c r="AJ382" s="6756"/>
      <c r="AK382" s="6757"/>
      <c r="AL382" s="6758"/>
      <c r="AM382" s="6759"/>
      <c r="AN382" s="6760"/>
      <c r="AO382" s="6761"/>
      <c r="AP382" s="6762"/>
      <c r="AQ382" s="6763"/>
      <c r="AR382" s="6764"/>
      <c r="AS382" s="3983"/>
      <c r="AT382" s="4030"/>
      <c r="AU382" s="4030" t="str">
        <f>IF(T382="","",T382)</f>
        <v>Добавить наименование признака дифференциации</v>
      </c>
      <c r="AV382" s="4030"/>
      <c r="AW382" s="4030"/>
      <c r="AX382" s="3916">
        <v>0</v>
      </c>
    </row>
    <row s="12240" customFormat="1" customHeight="1" ht="14.25">
      <c r="A383" s="4269"/>
      <c r="B383" s="4269"/>
      <c r="C383" s="4269"/>
      <c r="D383" s="4269"/>
      <c r="E383" s="4018"/>
      <c r="F383" s="4110" t="s">
        <v>171</v>
      </c>
      <c r="G383" s="4269"/>
      <c r="H383" s="4269"/>
      <c r="I383" s="4269"/>
      <c r="J383" s="4269"/>
      <c r="K383" s="4269"/>
      <c r="L383" s="4270"/>
      <c r="M383" s="4271"/>
      <c r="N383" s="4271"/>
      <c r="O383" s="3983"/>
      <c r="P383" s="4272"/>
      <c r="Q383" s="4273"/>
      <c r="R383" s="4272"/>
      <c r="S383" s="4274"/>
      <c r="T383" s="4275" t="s">
        <v>298</v>
      </c>
      <c r="U383" s="3971"/>
      <c r="V383" s="3971"/>
      <c r="W383" s="3971"/>
      <c r="X383" s="3971"/>
      <c r="Y383" s="3971"/>
      <c r="Z383" s="3971"/>
      <c r="AA383" s="3971"/>
      <c r="AB383" s="3971"/>
      <c r="AC383" s="3971"/>
      <c r="AD383" s="3971"/>
      <c r="AE383" s="3971"/>
      <c r="AF383" s="3971"/>
      <c r="AG383" s="3971"/>
      <c r="AH383" s="3971"/>
      <c r="AI383" s="3971"/>
      <c r="AJ383" s="3971"/>
      <c r="AK383" s="3971"/>
      <c r="AL383" s="3971"/>
      <c r="AM383" s="3971"/>
      <c r="AN383" s="3971"/>
      <c r="AO383" s="3971"/>
      <c r="AP383" s="3971"/>
      <c r="AQ383" s="3971"/>
      <c r="AR383" s="3971"/>
      <c r="AS383" s="3983"/>
      <c r="AT383" s="4030"/>
      <c r="AU383" s="4030" t="str">
        <f>IF(T383="","",T383)</f>
        <v>Добавить централизованную систему для дифференциации</v>
      </c>
      <c r="AV383" s="4030"/>
      <c r="AW383" s="4030"/>
      <c r="AX383" s="3983">
        <v>0</v>
      </c>
    </row>
    <row s="8355" customFormat="1" customHeight="1" ht="0">
      <c r="A384" s="1456" t="s">
        <v>295</v>
      </c>
      <c r="B384" s="1456"/>
      <c r="C384" s="1456"/>
      <c r="D384" s="1456"/>
      <c r="E384" s="2371"/>
      <c r="F384" s="1456"/>
      <c r="G384" s="1456"/>
      <c r="H384" s="1456"/>
      <c r="I384" s="1456"/>
      <c r="J384" s="1456"/>
      <c r="K384" s="1456"/>
      <c r="L384" s="1459"/>
      <c r="M384" s="1434"/>
      <c r="N384" s="1434"/>
      <c r="O384" s="631"/>
      <c r="P384" s="493"/>
      <c r="Q384" s="1457"/>
      <c r="R384" s="493"/>
      <c r="S384" s="1435"/>
      <c r="T384" s="1438" t="s">
        <v>355</v>
      </c>
      <c r="U384" s="1437"/>
      <c r="V384" s="1437"/>
      <c r="W384" s="1437"/>
      <c r="X384" s="1437"/>
      <c r="Y384" s="1437"/>
      <c r="Z384" s="1437"/>
      <c r="AA384" s="1437"/>
      <c r="AB384" s="1437"/>
      <c r="AC384" s="1437"/>
      <c r="AD384" s="1437"/>
      <c r="AE384" s="1437"/>
      <c r="AF384" s="1437"/>
      <c r="AG384" s="1437"/>
      <c r="AH384" s="1437"/>
      <c r="AI384" s="1437"/>
      <c r="AJ384" s="3971"/>
      <c r="AK384" s="3971"/>
      <c r="AL384" s="3971"/>
      <c r="AM384" s="3971"/>
      <c r="AN384" s="3971"/>
      <c r="AO384" s="3971"/>
      <c r="AP384" s="3971"/>
      <c r="AQ384" s="1437"/>
      <c r="AR384" s="1437"/>
      <c r="AT384" s="613"/>
      <c r="AU384" s="613" t="str">
        <f>IF(T384="","",T384)</f>
        <v>Добавить территорию для дифференциации</v>
      </c>
      <c r="AV384" s="613"/>
      <c r="AW384" s="613"/>
      <c r="AX384" s="624">
        <v>0</v>
      </c>
    </row>
    <row s="8355" customFormat="1" customHeight="1" ht="0">
      <c r="A385" s="1427"/>
      <c r="B385" s="1427"/>
      <c r="C385" s="1427"/>
      <c r="D385" s="1427"/>
      <c r="E385" s="1456"/>
      <c r="F385" s="1427"/>
      <c r="G385" s="1427"/>
      <c r="H385" s="1427"/>
      <c r="I385" s="1427"/>
      <c r="J385" s="1427"/>
      <c r="K385" s="1427"/>
      <c r="L385" s="1539"/>
      <c r="M385" s="1434"/>
      <c r="N385" s="1434"/>
      <c r="P385" s="1429"/>
      <c r="Q385" s="1430"/>
      <c r="R385" s="1429"/>
      <c r="S385" s="1435"/>
      <c r="T385" s="1438" t="s">
        <v>356</v>
      </c>
      <c r="U385" s="1437"/>
      <c r="V385" s="1437"/>
      <c r="W385" s="1437"/>
      <c r="X385" s="1437"/>
      <c r="Y385" s="1437"/>
      <c r="Z385" s="1437"/>
      <c r="AA385" s="1437"/>
      <c r="AB385" s="1437"/>
      <c r="AC385" s="1437"/>
      <c r="AD385" s="1437"/>
      <c r="AE385" s="1437"/>
      <c r="AF385" s="1437"/>
      <c r="AG385" s="1437"/>
      <c r="AH385" s="1437"/>
      <c r="AI385" s="1437"/>
      <c r="AJ385" s="3971"/>
      <c r="AK385" s="3971"/>
      <c r="AL385" s="3971"/>
      <c r="AM385" s="3971"/>
      <c r="AN385" s="3971"/>
      <c r="AO385" s="3971"/>
      <c r="AP385" s="3971"/>
      <c r="AQ385" s="1437"/>
      <c r="AR385" s="1437"/>
      <c r="AT385" s="902"/>
      <c r="AU385" s="902" t="str">
        <f>IF(T385="","",T385)</f>
        <v>Добавить наименование тарифа</v>
      </c>
      <c r="AV385" s="902"/>
      <c r="AW385" s="902"/>
      <c r="AX385" s="631">
        <v>0</v>
      </c>
    </row>
    <row customHeight="1" ht="11.549999999999999">
      <c r="M386" s="1273"/>
      <c r="N386" s="1273"/>
      <c r="O386" s="650"/>
      <c r="P386" s="1268"/>
      <c r="Q386" s="1268"/>
      <c r="R386" s="1268"/>
      <c r="S386" s="1268"/>
      <c r="AJ386" s="3916"/>
      <c r="AK386" s="3916"/>
      <c r="AL386" s="3916"/>
      <c r="AM386" s="3916"/>
      <c r="AN386" s="3916"/>
      <c r="AO386" s="3916"/>
      <c r="AP386" s="3916"/>
      <c r="AS386" s="1268"/>
      <c r="AT386" s="1268"/>
      <c r="AU386" s="1268"/>
      <c r="AV386" s="1268"/>
      <c r="AW386" s="1268"/>
      <c r="AX386" s="1268">
        <v>11</v>
      </c>
    </row>
    <row customHeight="1" ht="14.699999999999998">
      <c r="O387" s="650"/>
      <c r="S387" s="1366"/>
      <c r="T387" s="2398"/>
      <c r="U387" s="2398"/>
      <c r="V387" s="2398"/>
      <c r="W387" s="2398"/>
      <c r="X387" s="2398"/>
      <c r="Y387" s="2398"/>
      <c r="Z387" s="2398"/>
      <c r="AA387" s="2398"/>
      <c r="AB387" s="2398"/>
      <c r="AC387" s="2398"/>
      <c r="AD387" s="2398"/>
      <c r="AE387" s="2398"/>
      <c r="AF387" s="2398"/>
      <c r="AG387" s="2398"/>
      <c r="AH387" s="2398"/>
      <c r="AI387" s="2398"/>
      <c r="AJ387" s="6766"/>
      <c r="AK387" s="6766"/>
      <c r="AL387" s="6766"/>
      <c r="AM387" s="6766"/>
      <c r="AN387" s="6766"/>
      <c r="AO387" s="6766"/>
      <c r="AP387" s="6766"/>
      <c r="AQ387" s="2398"/>
      <c r="AR387" s="2398"/>
      <c r="AX387" s="1268">
        <v>14</v>
      </c>
    </row>
    <row customHeight="1" ht="14.699999999999998">
      <c r="O388" s="650"/>
      <c r="AJ388" s="3916"/>
      <c r="AK388" s="3916"/>
      <c r="AL388" s="3916"/>
      <c r="AM388" s="3916"/>
      <c r="AN388" s="3916"/>
      <c r="AO388" s="3916"/>
      <c r="AP388" s="3916"/>
      <c r="AX388" s="1268">
        <v>14</v>
      </c>
    </row>
    <row customHeight="1" ht="14.699999999999998">
      <c r="O389" s="650"/>
      <c r="S389" s="1366"/>
      <c r="T389" s="2398"/>
      <c r="U389" s="2398"/>
      <c r="V389" s="2398"/>
      <c r="W389" s="2398"/>
      <c r="X389" s="2398"/>
      <c r="Y389" s="2398"/>
      <c r="Z389" s="2398"/>
      <c r="AA389" s="2398"/>
      <c r="AB389" s="2398"/>
      <c r="AC389" s="2398"/>
      <c r="AD389" s="2398"/>
      <c r="AE389" s="2398"/>
      <c r="AF389" s="2398"/>
      <c r="AG389" s="2398"/>
      <c r="AH389" s="2398"/>
      <c r="AI389" s="2398"/>
      <c r="AJ389" s="6766"/>
      <c r="AK389" s="6766"/>
      <c r="AL389" s="6766"/>
      <c r="AM389" s="6766"/>
      <c r="AN389" s="6766"/>
      <c r="AO389" s="6766"/>
      <c r="AP389" s="6766"/>
      <c r="AQ389" s="2398"/>
      <c r="AR389" s="2398"/>
      <c r="AX389" s="1268">
        <v>14</v>
      </c>
    </row>
    <row customHeight="1" ht="22.5" hidden="1">
      <c r="A390" s="1273" t="s">
        <v>82</v>
      </c>
      <c r="B390" s="1273">
        <v>0</v>
      </c>
      <c r="C390" s="1273">
        <v>0</v>
      </c>
      <c r="D390" s="1273">
        <v>0</v>
      </c>
      <c r="E390" s="1273">
        <v>0</v>
      </c>
      <c r="F390" s="1273">
        <v>0</v>
      </c>
      <c r="G390" s="1273">
        <v>0</v>
      </c>
      <c r="H390" s="1273">
        <v>0</v>
      </c>
      <c r="I390" s="1273">
        <v>0</v>
      </c>
      <c r="J390" s="1273">
        <v>0</v>
      </c>
      <c r="K390" s="1273">
        <v>0</v>
      </c>
      <c r="L390" s="1534">
        <v>0</v>
      </c>
      <c r="M390" s="1475">
        <v>0</v>
      </c>
      <c r="N390" s="1475">
        <v>0</v>
      </c>
      <c r="O390" s="1475">
        <v>0</v>
      </c>
      <c r="P390" s="1464">
        <v>3</v>
      </c>
      <c r="Q390" s="457">
        <v>3</v>
      </c>
      <c r="R390" s="457">
        <v>3</v>
      </c>
      <c r="S390" s="694">
        <v>12</v>
      </c>
      <c r="T390" s="1268">
        <v>35</v>
      </c>
      <c r="U390" s="1268">
        <v>0</v>
      </c>
      <c r="V390" s="1268">
        <v>0</v>
      </c>
      <c r="W390" s="1268">
        <v>0</v>
      </c>
      <c r="X390" s="1268">
        <v>0</v>
      </c>
      <c r="Y390" s="1268">
        <v>0</v>
      </c>
      <c r="Z390" s="1268">
        <v>0</v>
      </c>
      <c r="AA390" s="1268">
        <v>0</v>
      </c>
      <c r="AB390" s="1268">
        <v>0</v>
      </c>
      <c r="AC390" s="1268">
        <v>24</v>
      </c>
      <c r="AD390" s="1268">
        <v>24</v>
      </c>
      <c r="AE390" s="1268">
        <v>24</v>
      </c>
      <c r="AF390" s="1268">
        <v>11</v>
      </c>
      <c r="AG390" s="1268">
        <v>3</v>
      </c>
      <c r="AH390" s="1268">
        <v>11</v>
      </c>
      <c r="AI390" s="1268">
        <v>0</v>
      </c>
      <c r="AJ390" s="3916">
        <v>0</v>
      </c>
      <c r="AK390" s="3916">
        <v>0</v>
      </c>
      <c r="AL390" s="3916">
        <v>0</v>
      </c>
      <c r="AM390" s="3916">
        <v>0</v>
      </c>
      <c r="AN390" s="3916">
        <v>0</v>
      </c>
      <c r="AO390" s="3916">
        <v>0</v>
      </c>
      <c r="AP390" s="3916">
        <v>0</v>
      </c>
      <c r="AQ390" s="1268">
        <v>4</v>
      </c>
      <c r="AR390" s="1268">
        <v>115</v>
      </c>
      <c r="AS390" s="624">
        <v>10</v>
      </c>
      <c r="AT390" s="624">
        <v>10</v>
      </c>
      <c r="AU390" s="624">
        <v>10</v>
      </c>
      <c r="AV390" s="624">
        <v>10</v>
      </c>
      <c r="AW390" s="624">
        <v>10</v>
      </c>
      <c r="AX390" s="1268">
        <v>23</v>
      </c>
    </row>
  </sheetData>
  <sheetProtection formatColumns="0" formatRows="0" autoFilter="0" sort="0" insertRows="0" insertColumns="1" deleteRows="0" deleteColumns="0"/>
  <mergeCells count="1340">
    <mergeCell ref="E2:E13"/>
    <mergeCell ref="V2:AB2"/>
    <mergeCell ref="AC2:AQ2"/>
    <mergeCell ref="F3:F12"/>
    <mergeCell ref="V3:AB3"/>
    <mergeCell ref="AC3:AQ3"/>
    <mergeCell ref="G4:G11"/>
    <mergeCell ref="V4:AB4"/>
    <mergeCell ref="AC4:AQ4"/>
    <mergeCell ref="H5:H11"/>
    <mergeCell ref="AI7:AI8"/>
    <mergeCell ref="K7:K8"/>
    <mergeCell ref="Y7:Y8"/>
    <mergeCell ref="Z7:Z8"/>
    <mergeCell ref="AA7:AA8"/>
    <mergeCell ref="AB7:AB8"/>
    <mergeCell ref="I5:I10"/>
    <mergeCell ref="P5:P10"/>
    <mergeCell ref="V5:AB5"/>
    <mergeCell ref="AC5:AQ5"/>
    <mergeCell ref="J6:J9"/>
    <mergeCell ref="Q6:Q9"/>
    <mergeCell ref="V6:AB6"/>
    <mergeCell ref="AC6:AQ6"/>
    <mergeCell ref="AR7:AR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Q36"/>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Q37:AQ39"/>
    <mergeCell ref="W38:X38"/>
    <mergeCell ref="E41:E384"/>
    <mergeCell ref="V41:AB41"/>
    <mergeCell ref="AC41:AQ41"/>
    <mergeCell ref="F42:F59"/>
    <mergeCell ref="V42:AB42"/>
    <mergeCell ref="AC42:AQ42"/>
    <mergeCell ref="G43:G58"/>
    <mergeCell ref="Y38:AA38"/>
    <mergeCell ref="AD38:AE38"/>
    <mergeCell ref="AF38:AH38"/>
    <mergeCell ref="Z39:AA39"/>
    <mergeCell ref="H44:H58"/>
    <mergeCell ref="I44:I57"/>
    <mergeCell ref="P44:P57"/>
    <mergeCell ref="V44:AB44"/>
    <mergeCell ref="AC44:AQ44"/>
    <mergeCell ref="J45:J48"/>
    <mergeCell ref="AG39:AH39"/>
    <mergeCell ref="Z40:AA40"/>
    <mergeCell ref="AG40:AH40"/>
    <mergeCell ref="K46:K47"/>
    <mergeCell ref="V43:AB43"/>
    <mergeCell ref="AC43:AQ43"/>
    <mergeCell ref="T387:AR387"/>
    <mergeCell ref="T389:AR389"/>
    <mergeCell ref="Q45:Q48"/>
    <mergeCell ref="V45:AB45"/>
    <mergeCell ref="AC45:AQ45"/>
    <mergeCell ref="AF46:AF47"/>
    <mergeCell ref="AG46:AG47"/>
    <mergeCell ref="AR46:AR47"/>
    <mergeCell ref="AH46:AH47"/>
    <mergeCell ref="AI46:AI47"/>
    <mergeCell ref="F60:F77"/>
    <mergeCell ref="V60:AB60"/>
    <mergeCell ref="AC60:AQ60"/>
    <mergeCell ref="G61:G76"/>
    <mergeCell ref="V61:AB61"/>
    <mergeCell ref="AC61:AQ61"/>
    <mergeCell ref="H62:H76"/>
    <mergeCell ref="AI64:AI65"/>
    <mergeCell ref="K64:K65"/>
    <mergeCell ref="Y64:Y65"/>
    <mergeCell ref="Z64:Z65"/>
    <mergeCell ref="AA64:AA65"/>
    <mergeCell ref="AB64:AB65"/>
    <mergeCell ref="I62:I75"/>
    <mergeCell ref="P62:P75"/>
    <mergeCell ref="V62:AB62"/>
    <mergeCell ref="AC62:AQ62"/>
    <mergeCell ref="J63:J66"/>
    <mergeCell ref="Q63:Q66"/>
    <mergeCell ref="V63:AB63"/>
    <mergeCell ref="AC63:AQ63"/>
    <mergeCell ref="AR64:AR65"/>
    <mergeCell ref="AG64:AG65"/>
    <mergeCell ref="AH64:AH65"/>
    <mergeCell ref="AF64:AF65"/>
    <mergeCell ref="F78:F95"/>
    <mergeCell ref="V78:AB78"/>
    <mergeCell ref="AC78:AQ78"/>
    <mergeCell ref="G79:G94"/>
    <mergeCell ref="V79:AB79"/>
    <mergeCell ref="AC79:AQ79"/>
    <mergeCell ref="H80:H94"/>
    <mergeCell ref="AI82:AI83"/>
    <mergeCell ref="K82:K83"/>
    <mergeCell ref="Y82:Y83"/>
    <mergeCell ref="Z82:Z83"/>
    <mergeCell ref="AA82:AA83"/>
    <mergeCell ref="AB82:AB83"/>
    <mergeCell ref="I80:I93"/>
    <mergeCell ref="P80:P93"/>
    <mergeCell ref="V80:AB80"/>
    <mergeCell ref="AC80:AQ80"/>
    <mergeCell ref="J81:J84"/>
    <mergeCell ref="Q81:Q84"/>
    <mergeCell ref="V81:AB81"/>
    <mergeCell ref="AC81:AQ81"/>
    <mergeCell ref="AR82:AR83"/>
    <mergeCell ref="AG82:AG83"/>
    <mergeCell ref="AH82:AH83"/>
    <mergeCell ref="AF82:AF83"/>
    <mergeCell ref="F96:F113"/>
    <mergeCell ref="V96:AB96"/>
    <mergeCell ref="AC96:AQ96"/>
    <mergeCell ref="G97:G112"/>
    <mergeCell ref="V97:AB97"/>
    <mergeCell ref="AC97:AQ97"/>
    <mergeCell ref="H98:H112"/>
    <mergeCell ref="AI100:AI101"/>
    <mergeCell ref="K100:K101"/>
    <mergeCell ref="Y100:Y101"/>
    <mergeCell ref="Z100:Z101"/>
    <mergeCell ref="AA100:AA101"/>
    <mergeCell ref="AB100:AB101"/>
    <mergeCell ref="I98:I111"/>
    <mergeCell ref="P98:P111"/>
    <mergeCell ref="V98:AB98"/>
    <mergeCell ref="AC98:AQ98"/>
    <mergeCell ref="J99:J102"/>
    <mergeCell ref="Q99:Q102"/>
    <mergeCell ref="V99:AB99"/>
    <mergeCell ref="AC99:AQ99"/>
    <mergeCell ref="AR100:AR101"/>
    <mergeCell ref="AG100:AG101"/>
    <mergeCell ref="AH100:AH101"/>
    <mergeCell ref="AF100:AF101"/>
    <mergeCell ref="F114:F131"/>
    <mergeCell ref="V114:AB114"/>
    <mergeCell ref="AC114:AQ114"/>
    <mergeCell ref="G115:G130"/>
    <mergeCell ref="V115:AB115"/>
    <mergeCell ref="AC115:AQ115"/>
    <mergeCell ref="H116:H130"/>
    <mergeCell ref="AI118:AI119"/>
    <mergeCell ref="K118:K119"/>
    <mergeCell ref="Y118:Y119"/>
    <mergeCell ref="Z118:Z119"/>
    <mergeCell ref="AA118:AA119"/>
    <mergeCell ref="AB118:AB119"/>
    <mergeCell ref="I116:I129"/>
    <mergeCell ref="P116:P129"/>
    <mergeCell ref="V116:AB116"/>
    <mergeCell ref="AC116:AQ116"/>
    <mergeCell ref="J117:J120"/>
    <mergeCell ref="Q117:Q120"/>
    <mergeCell ref="V117:AB117"/>
    <mergeCell ref="AC117:AQ117"/>
    <mergeCell ref="AR118:AR119"/>
    <mergeCell ref="AG118:AG119"/>
    <mergeCell ref="AH118:AH119"/>
    <mergeCell ref="AF118:AF119"/>
    <mergeCell ref="F132:F169"/>
    <mergeCell ref="V132:AB132"/>
    <mergeCell ref="AC132:AQ132"/>
    <mergeCell ref="G133:G152"/>
    <mergeCell ref="V133:AB133"/>
    <mergeCell ref="AC133:AQ133"/>
    <mergeCell ref="H134:H152"/>
    <mergeCell ref="AI136:AI137"/>
    <mergeCell ref="K136:K137"/>
    <mergeCell ref="Y136:Y137"/>
    <mergeCell ref="Z136:Z137"/>
    <mergeCell ref="AA136:AA137"/>
    <mergeCell ref="AB136:AB137"/>
    <mergeCell ref="I134:I151"/>
    <mergeCell ref="P134:P151"/>
    <mergeCell ref="V134:AB134"/>
    <mergeCell ref="AC134:AQ134"/>
    <mergeCell ref="J135:J138"/>
    <mergeCell ref="Q135:Q138"/>
    <mergeCell ref="V135:AB135"/>
    <mergeCell ref="AC135:AQ135"/>
    <mergeCell ref="AR136:AR137"/>
    <mergeCell ref="AG136:AG137"/>
    <mergeCell ref="AH136:AH137"/>
    <mergeCell ref="AF136:AF137"/>
    <mergeCell ref="G153:G168"/>
    <mergeCell ref="V153:AB153"/>
    <mergeCell ref="AC153:AQ153"/>
    <mergeCell ref="H154:H168"/>
    <mergeCell ref="AI156:AI157"/>
    <mergeCell ref="K156:K157"/>
    <mergeCell ref="Y156:Y157"/>
    <mergeCell ref="Z156:Z157"/>
    <mergeCell ref="AA156:AA157"/>
    <mergeCell ref="AB156:AB157"/>
    <mergeCell ref="I154:I167"/>
    <mergeCell ref="P154:P167"/>
    <mergeCell ref="V154:AB154"/>
    <mergeCell ref="AC154:AQ154"/>
    <mergeCell ref="J155:J158"/>
    <mergeCell ref="Q155:Q158"/>
    <mergeCell ref="V155:AB155"/>
    <mergeCell ref="AC155:AQ155"/>
    <mergeCell ref="AR156:AR157"/>
    <mergeCell ref="AG156:AG157"/>
    <mergeCell ref="AH156:AH157"/>
    <mergeCell ref="AF156:AF157"/>
    <mergeCell ref="F170:F187"/>
    <mergeCell ref="V170:AB170"/>
    <mergeCell ref="AC170:AQ170"/>
    <mergeCell ref="G171:G186"/>
    <mergeCell ref="V171:AB171"/>
    <mergeCell ref="AC171:AQ171"/>
    <mergeCell ref="H172:H186"/>
    <mergeCell ref="AI174:AI175"/>
    <mergeCell ref="K174:K175"/>
    <mergeCell ref="Y174:Y175"/>
    <mergeCell ref="Z174:Z175"/>
    <mergeCell ref="AA174:AA175"/>
    <mergeCell ref="AB174:AB175"/>
    <mergeCell ref="I172:I185"/>
    <mergeCell ref="P172:P185"/>
    <mergeCell ref="V172:AB172"/>
    <mergeCell ref="AC172:AQ172"/>
    <mergeCell ref="J173:J176"/>
    <mergeCell ref="Q173:Q176"/>
    <mergeCell ref="V173:AB173"/>
    <mergeCell ref="AC173:AQ173"/>
    <mergeCell ref="AR174:AR175"/>
    <mergeCell ref="AG174:AG175"/>
    <mergeCell ref="AH174:AH175"/>
    <mergeCell ref="AF174:AF175"/>
    <mergeCell ref="F188:F205"/>
    <mergeCell ref="V188:AB188"/>
    <mergeCell ref="AC188:AQ188"/>
    <mergeCell ref="G189:G204"/>
    <mergeCell ref="V189:AB189"/>
    <mergeCell ref="AC189:AQ189"/>
    <mergeCell ref="H190:H204"/>
    <mergeCell ref="AI192:AI193"/>
    <mergeCell ref="K192:K193"/>
    <mergeCell ref="Y192:Y193"/>
    <mergeCell ref="Z192:Z193"/>
    <mergeCell ref="AA192:AA193"/>
    <mergeCell ref="AB192:AB193"/>
    <mergeCell ref="I190:I203"/>
    <mergeCell ref="P190:P203"/>
    <mergeCell ref="V190:AB190"/>
    <mergeCell ref="AC190:AQ190"/>
    <mergeCell ref="J191:J194"/>
    <mergeCell ref="Q191:Q194"/>
    <mergeCell ref="V191:AB191"/>
    <mergeCell ref="AC191:AQ191"/>
    <mergeCell ref="AR192:AR193"/>
    <mergeCell ref="AG192:AG193"/>
    <mergeCell ref="AH192:AH193"/>
    <mergeCell ref="AF192:AF193"/>
    <mergeCell ref="F206:F223"/>
    <mergeCell ref="V206:AB206"/>
    <mergeCell ref="AC206:AQ206"/>
    <mergeCell ref="G207:G222"/>
    <mergeCell ref="V207:AB207"/>
    <mergeCell ref="AC207:AQ207"/>
    <mergeCell ref="H208:H222"/>
    <mergeCell ref="AI210:AI211"/>
    <mergeCell ref="K210:K211"/>
    <mergeCell ref="Y210:Y211"/>
    <mergeCell ref="Z210:Z211"/>
    <mergeCell ref="AA210:AA211"/>
    <mergeCell ref="AB210:AB211"/>
    <mergeCell ref="I208:I221"/>
    <mergeCell ref="P208:P221"/>
    <mergeCell ref="V208:AB208"/>
    <mergeCell ref="AC208:AQ208"/>
    <mergeCell ref="J209:J212"/>
    <mergeCell ref="Q209:Q212"/>
    <mergeCell ref="V209:AB209"/>
    <mergeCell ref="AC209:AQ209"/>
    <mergeCell ref="AR210:AR211"/>
    <mergeCell ref="AG210:AG211"/>
    <mergeCell ref="AH210:AH211"/>
    <mergeCell ref="AF210:AF211"/>
    <mergeCell ref="F224:F241"/>
    <mergeCell ref="V224:AB224"/>
    <mergeCell ref="AC224:AQ224"/>
    <mergeCell ref="G225:G240"/>
    <mergeCell ref="V225:AB225"/>
    <mergeCell ref="AC225:AQ225"/>
    <mergeCell ref="H226:H240"/>
    <mergeCell ref="AI228:AI229"/>
    <mergeCell ref="K228:K229"/>
    <mergeCell ref="Y228:Y229"/>
    <mergeCell ref="Z228:Z229"/>
    <mergeCell ref="AA228:AA229"/>
    <mergeCell ref="AB228:AB229"/>
    <mergeCell ref="I226:I239"/>
    <mergeCell ref="P226:P239"/>
    <mergeCell ref="V226:AB226"/>
    <mergeCell ref="AC226:AQ226"/>
    <mergeCell ref="J227:J230"/>
    <mergeCell ref="Q227:Q230"/>
    <mergeCell ref="V227:AB227"/>
    <mergeCell ref="AC227:AQ227"/>
    <mergeCell ref="AR228:AR229"/>
    <mergeCell ref="AG228:AG229"/>
    <mergeCell ref="AH228:AH229"/>
    <mergeCell ref="AF228:AF229"/>
    <mergeCell ref="F242:F259"/>
    <mergeCell ref="V242:AB242"/>
    <mergeCell ref="AC242:AQ242"/>
    <mergeCell ref="G243:G258"/>
    <mergeCell ref="V243:AB243"/>
    <mergeCell ref="AC243:AQ243"/>
    <mergeCell ref="H244:H258"/>
    <mergeCell ref="AI246:AI247"/>
    <mergeCell ref="K246:K247"/>
    <mergeCell ref="Y246:Y247"/>
    <mergeCell ref="Z246:Z247"/>
    <mergeCell ref="AA246:AA247"/>
    <mergeCell ref="AB246:AB247"/>
    <mergeCell ref="I244:I257"/>
    <mergeCell ref="P244:P257"/>
    <mergeCell ref="V244:AB244"/>
    <mergeCell ref="AC244:AQ244"/>
    <mergeCell ref="J245:J248"/>
    <mergeCell ref="Q245:Q248"/>
    <mergeCell ref="V245:AB245"/>
    <mergeCell ref="AC245:AQ245"/>
    <mergeCell ref="AR246:AR247"/>
    <mergeCell ref="AG246:AG247"/>
    <mergeCell ref="AH246:AH247"/>
    <mergeCell ref="AF246:AF247"/>
    <mergeCell ref="F260:F277"/>
    <mergeCell ref="V260:AB260"/>
    <mergeCell ref="AC260:AQ260"/>
    <mergeCell ref="G261:G276"/>
    <mergeCell ref="V261:AB261"/>
    <mergeCell ref="AC261:AQ261"/>
    <mergeCell ref="H262:H276"/>
    <mergeCell ref="AI264:AI265"/>
    <mergeCell ref="K264:K265"/>
    <mergeCell ref="Y264:Y265"/>
    <mergeCell ref="Z264:Z265"/>
    <mergeCell ref="AA264:AA265"/>
    <mergeCell ref="AB264:AB265"/>
    <mergeCell ref="I262:I275"/>
    <mergeCell ref="P262:P275"/>
    <mergeCell ref="V262:AB262"/>
    <mergeCell ref="AC262:AQ262"/>
    <mergeCell ref="J263:J266"/>
    <mergeCell ref="Q263:Q266"/>
    <mergeCell ref="V263:AB263"/>
    <mergeCell ref="AC263:AQ263"/>
    <mergeCell ref="AR264:AR265"/>
    <mergeCell ref="AG264:AG265"/>
    <mergeCell ref="AH264:AH265"/>
    <mergeCell ref="AF264:AF265"/>
    <mergeCell ref="F278:F295"/>
    <mergeCell ref="V278:AB278"/>
    <mergeCell ref="AC278:AQ278"/>
    <mergeCell ref="G279:G294"/>
    <mergeCell ref="V279:AB279"/>
    <mergeCell ref="AC279:AQ279"/>
    <mergeCell ref="H280:H294"/>
    <mergeCell ref="AI282:AI283"/>
    <mergeCell ref="K282:K283"/>
    <mergeCell ref="Y282:Y283"/>
    <mergeCell ref="Z282:Z283"/>
    <mergeCell ref="AA282:AA283"/>
    <mergeCell ref="AB282:AB283"/>
    <mergeCell ref="I280:I293"/>
    <mergeCell ref="P280:P293"/>
    <mergeCell ref="V280:AB280"/>
    <mergeCell ref="AC280:AQ280"/>
    <mergeCell ref="J281:J284"/>
    <mergeCell ref="Q281:Q284"/>
    <mergeCell ref="V281:AB281"/>
    <mergeCell ref="AC281:AQ281"/>
    <mergeCell ref="AR282:AR283"/>
    <mergeCell ref="AG282:AG283"/>
    <mergeCell ref="AH282:AH283"/>
    <mergeCell ref="AF282:AF283"/>
    <mergeCell ref="F296:F313"/>
    <mergeCell ref="V296:AB296"/>
    <mergeCell ref="AC296:AQ296"/>
    <mergeCell ref="G297:G312"/>
    <mergeCell ref="V297:AB297"/>
    <mergeCell ref="AC297:AQ297"/>
    <mergeCell ref="H298:H312"/>
    <mergeCell ref="AI300:AI301"/>
    <mergeCell ref="K300:K301"/>
    <mergeCell ref="Y300:Y301"/>
    <mergeCell ref="Z300:Z301"/>
    <mergeCell ref="AA300:AA301"/>
    <mergeCell ref="AB300:AB301"/>
    <mergeCell ref="I298:I311"/>
    <mergeCell ref="P298:P311"/>
    <mergeCell ref="V298:AB298"/>
    <mergeCell ref="AC298:AQ298"/>
    <mergeCell ref="J299:J302"/>
    <mergeCell ref="Q299:Q302"/>
    <mergeCell ref="V299:AB299"/>
    <mergeCell ref="AC299:AQ299"/>
    <mergeCell ref="AR300:AR301"/>
    <mergeCell ref="AG300:AG301"/>
    <mergeCell ref="AH300:AH301"/>
    <mergeCell ref="AF300:AF301"/>
    <mergeCell ref="F314:F331"/>
    <mergeCell ref="V314:AB314"/>
    <mergeCell ref="AC314:AQ314"/>
    <mergeCell ref="G315:G330"/>
    <mergeCell ref="V315:AB315"/>
    <mergeCell ref="AC315:AQ315"/>
    <mergeCell ref="H316:H330"/>
    <mergeCell ref="AI318:AI319"/>
    <mergeCell ref="K318:K319"/>
    <mergeCell ref="Y318:Y319"/>
    <mergeCell ref="Z318:Z319"/>
    <mergeCell ref="AA318:AA319"/>
    <mergeCell ref="AB318:AB319"/>
    <mergeCell ref="I316:I329"/>
    <mergeCell ref="P316:P329"/>
    <mergeCell ref="V316:AB316"/>
    <mergeCell ref="AC316:AQ316"/>
    <mergeCell ref="J317:J320"/>
    <mergeCell ref="Q317:Q320"/>
    <mergeCell ref="V317:AB317"/>
    <mergeCell ref="AC317:AQ317"/>
    <mergeCell ref="AR318:AR319"/>
    <mergeCell ref="AG318:AG319"/>
    <mergeCell ref="AH318:AH319"/>
    <mergeCell ref="AF318:AF319"/>
    <mergeCell ref="F332:F349"/>
    <mergeCell ref="V332:AB332"/>
    <mergeCell ref="AC332:AQ332"/>
    <mergeCell ref="G333:G348"/>
    <mergeCell ref="V333:AB333"/>
    <mergeCell ref="AC333:AQ333"/>
    <mergeCell ref="H334:H348"/>
    <mergeCell ref="AI336:AI337"/>
    <mergeCell ref="K336:K337"/>
    <mergeCell ref="Y336:Y337"/>
    <mergeCell ref="Z336:Z337"/>
    <mergeCell ref="AA336:AA337"/>
    <mergeCell ref="AB336:AB337"/>
    <mergeCell ref="I334:I347"/>
    <mergeCell ref="P334:P347"/>
    <mergeCell ref="V334:AB334"/>
    <mergeCell ref="AC334:AQ334"/>
    <mergeCell ref="J335:J338"/>
    <mergeCell ref="Q335:Q338"/>
    <mergeCell ref="V335:AB335"/>
    <mergeCell ref="AC335:AQ335"/>
    <mergeCell ref="AR336:AR337"/>
    <mergeCell ref="AG336:AG337"/>
    <mergeCell ref="AH336:AH337"/>
    <mergeCell ref="AF336:AF337"/>
    <mergeCell ref="F350:F383"/>
    <mergeCell ref="V350:AB350"/>
    <mergeCell ref="AC350:AQ350"/>
    <mergeCell ref="G351:G366"/>
    <mergeCell ref="V351:AB351"/>
    <mergeCell ref="AC351:AQ351"/>
    <mergeCell ref="H352:H366"/>
    <mergeCell ref="AI354:AI355"/>
    <mergeCell ref="K354:K355"/>
    <mergeCell ref="Y354:Y355"/>
    <mergeCell ref="Z354:Z355"/>
    <mergeCell ref="AA354:AA355"/>
    <mergeCell ref="AB354:AB355"/>
    <mergeCell ref="I352:I365"/>
    <mergeCell ref="P352:P365"/>
    <mergeCell ref="V352:AB352"/>
    <mergeCell ref="AC352:AQ352"/>
    <mergeCell ref="J353:J356"/>
    <mergeCell ref="Q353:Q356"/>
    <mergeCell ref="V353:AB353"/>
    <mergeCell ref="AC353:AQ353"/>
    <mergeCell ref="AR354:AR355"/>
    <mergeCell ref="AG354:AG355"/>
    <mergeCell ref="AH354:AH355"/>
    <mergeCell ref="AF354:AF355"/>
    <mergeCell ref="G367:G382"/>
    <mergeCell ref="V367:AB367"/>
    <mergeCell ref="AC367:AQ367"/>
    <mergeCell ref="H368:H382"/>
    <mergeCell ref="AI370:AI371"/>
    <mergeCell ref="K370:K371"/>
    <mergeCell ref="Y370:Y371"/>
    <mergeCell ref="Z370:Z371"/>
    <mergeCell ref="AA370:AA371"/>
    <mergeCell ref="AB370:AB371"/>
    <mergeCell ref="I368:I381"/>
    <mergeCell ref="P368:P381"/>
    <mergeCell ref="V368:AB368"/>
    <mergeCell ref="AC368:AQ368"/>
    <mergeCell ref="J369:J372"/>
    <mergeCell ref="Q369:Q372"/>
    <mergeCell ref="V369:AB369"/>
    <mergeCell ref="AC369:AQ369"/>
    <mergeCell ref="AR370:AR371"/>
    <mergeCell ref="AG370:AG371"/>
    <mergeCell ref="AH370:AH371"/>
    <mergeCell ref="AF370:AF371"/>
    <mergeCell ref="AI50:AI51"/>
    <mergeCell ref="K50:K51"/>
    <mergeCell ref="Y50:Y51"/>
    <mergeCell ref="Z50:Z51"/>
    <mergeCell ref="AA50:AA51"/>
    <mergeCell ref="AB50:AB51"/>
    <mergeCell ref="J49:J52"/>
    <mergeCell ref="Q49:Q52"/>
    <mergeCell ref="V49:AB49"/>
    <mergeCell ref="AC49:AQ49"/>
    <mergeCell ref="AR50:AR51"/>
    <mergeCell ref="AG50:AG51"/>
    <mergeCell ref="AH50:AH51"/>
    <mergeCell ref="AF50:AF51"/>
    <mergeCell ref="AI54:AI55"/>
    <mergeCell ref="K54:K55"/>
    <mergeCell ref="Y54:Y55"/>
    <mergeCell ref="Z54:Z55"/>
    <mergeCell ref="AA54:AA55"/>
    <mergeCell ref="AB54:AB55"/>
    <mergeCell ref="J53:J56"/>
    <mergeCell ref="Q53:Q56"/>
    <mergeCell ref="V53:AB53"/>
    <mergeCell ref="AC53:AQ53"/>
    <mergeCell ref="AR54:AR55"/>
    <mergeCell ref="AG54:AG55"/>
    <mergeCell ref="AH54:AH55"/>
    <mergeCell ref="AF54:AF55"/>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50:AM51"/>
    <mergeCell ref="AN50:AN51"/>
    <mergeCell ref="AO50:AO51"/>
    <mergeCell ref="AP50:AP51"/>
    <mergeCell ref="AM54:AM55"/>
    <mergeCell ref="AN54:AN55"/>
    <mergeCell ref="AO54:AO55"/>
    <mergeCell ref="AP54:AP55"/>
    <mergeCell ref="AM64:AM65"/>
    <mergeCell ref="AN64:AN65"/>
    <mergeCell ref="AO64:AO65"/>
    <mergeCell ref="AP64:AP65"/>
    <mergeCell ref="AM82:AM83"/>
    <mergeCell ref="AN82:AN83"/>
    <mergeCell ref="AO82:AO83"/>
    <mergeCell ref="AP82:AP83"/>
    <mergeCell ref="AM100:AM101"/>
    <mergeCell ref="AN100:AN101"/>
    <mergeCell ref="AO100:AO101"/>
    <mergeCell ref="AP100:AP101"/>
    <mergeCell ref="AM118:AM119"/>
    <mergeCell ref="AN118:AN119"/>
    <mergeCell ref="AO118:AO119"/>
    <mergeCell ref="AP118:AP119"/>
    <mergeCell ref="AM136:AM137"/>
    <mergeCell ref="AN136:AN137"/>
    <mergeCell ref="AO136:AO137"/>
    <mergeCell ref="AP136:AP137"/>
    <mergeCell ref="AM156:AM157"/>
    <mergeCell ref="AN156:AN157"/>
    <mergeCell ref="AO156:AO157"/>
    <mergeCell ref="AP156:AP157"/>
    <mergeCell ref="AM174:AM175"/>
    <mergeCell ref="AN174:AN175"/>
    <mergeCell ref="AO174:AO175"/>
    <mergeCell ref="AP174:AP175"/>
    <mergeCell ref="AM192:AM193"/>
    <mergeCell ref="AN192:AN193"/>
    <mergeCell ref="AO192:AO193"/>
    <mergeCell ref="AP192:AP193"/>
    <mergeCell ref="AM210:AM211"/>
    <mergeCell ref="AN210:AN211"/>
    <mergeCell ref="AO210:AO211"/>
    <mergeCell ref="AP210:AP211"/>
    <mergeCell ref="AM228:AM229"/>
    <mergeCell ref="AN228:AN229"/>
    <mergeCell ref="AO228:AO229"/>
    <mergeCell ref="AP228:AP229"/>
    <mergeCell ref="AM246:AM247"/>
    <mergeCell ref="AN246:AN247"/>
    <mergeCell ref="AO246:AO247"/>
    <mergeCell ref="AP246:AP247"/>
    <mergeCell ref="AM264:AM265"/>
    <mergeCell ref="AN264:AN265"/>
    <mergeCell ref="AO264:AO265"/>
    <mergeCell ref="AP264:AP265"/>
    <mergeCell ref="AM282:AM283"/>
    <mergeCell ref="AN282:AN283"/>
    <mergeCell ref="AO282:AO283"/>
    <mergeCell ref="AP282:AP283"/>
    <mergeCell ref="AM300:AM301"/>
    <mergeCell ref="AN300:AN301"/>
    <mergeCell ref="AO300:AO301"/>
    <mergeCell ref="AP300:AP301"/>
    <mergeCell ref="AM318:AM319"/>
    <mergeCell ref="AN318:AN319"/>
    <mergeCell ref="AO318:AO319"/>
    <mergeCell ref="AP318:AP319"/>
    <mergeCell ref="AM336:AM337"/>
    <mergeCell ref="AN336:AN337"/>
    <mergeCell ref="AO336:AO337"/>
    <mergeCell ref="AP336:AP337"/>
    <mergeCell ref="AM354:AM355"/>
    <mergeCell ref="AN354:AN355"/>
    <mergeCell ref="AO354:AO355"/>
    <mergeCell ref="AP354:AP355"/>
    <mergeCell ref="AM370:AM371"/>
    <mergeCell ref="AN370:AN371"/>
    <mergeCell ref="AO370:AO371"/>
    <mergeCell ref="AP370:AP371"/>
    <mergeCell ref="AP46:AP47"/>
    <mergeCell ref="AN46:AN47"/>
    <mergeCell ref="AO46:AO47"/>
    <mergeCell ref="AM46:AM47"/>
    <mergeCell ref="AB46:AB47"/>
    <mergeCell ref="Z46:Z47"/>
    <mergeCell ref="AA46:AA47"/>
    <mergeCell ref="Y46:Y47"/>
    <mergeCell ref="AI68:AI69"/>
    <mergeCell ref="K68:K69"/>
    <mergeCell ref="Y68:Y69"/>
    <mergeCell ref="Z68:Z69"/>
    <mergeCell ref="AA68:AA69"/>
    <mergeCell ref="AB68:AB69"/>
    <mergeCell ref="J67:J70"/>
    <mergeCell ref="Q67:Q70"/>
    <mergeCell ref="V67:AB67"/>
    <mergeCell ref="AC67:AQ67"/>
    <mergeCell ref="AR68:AR69"/>
    <mergeCell ref="AG68:AG69"/>
    <mergeCell ref="AH68:AH69"/>
    <mergeCell ref="AF68:AF69"/>
    <mergeCell ref="AM68:AM69"/>
    <mergeCell ref="AN68:AN69"/>
    <mergeCell ref="AO68:AO69"/>
    <mergeCell ref="AP68:AP69"/>
    <mergeCell ref="AI72:AI73"/>
    <mergeCell ref="K72:K73"/>
    <mergeCell ref="Y72:Y73"/>
    <mergeCell ref="Z72:Z73"/>
    <mergeCell ref="AA72:AA73"/>
    <mergeCell ref="AB72:AB73"/>
    <mergeCell ref="J71:J74"/>
    <mergeCell ref="Q71:Q74"/>
    <mergeCell ref="V71:AB71"/>
    <mergeCell ref="AC71:AQ71"/>
    <mergeCell ref="AR72:AR73"/>
    <mergeCell ref="AG72:AG73"/>
    <mergeCell ref="AH72:AH73"/>
    <mergeCell ref="AF72:AF73"/>
    <mergeCell ref="AM72:AM73"/>
    <mergeCell ref="AN72:AN73"/>
    <mergeCell ref="AO72:AO73"/>
    <mergeCell ref="AP72:AP73"/>
    <mergeCell ref="AI86:AI87"/>
    <mergeCell ref="K86:K87"/>
    <mergeCell ref="Y86:Y87"/>
    <mergeCell ref="Z86:Z87"/>
    <mergeCell ref="AA86:AA87"/>
    <mergeCell ref="AB86:AB87"/>
    <mergeCell ref="J85:J88"/>
    <mergeCell ref="Q85:Q88"/>
    <mergeCell ref="V85:AB85"/>
    <mergeCell ref="AC85:AQ85"/>
    <mergeCell ref="AR86:AR87"/>
    <mergeCell ref="AG86:AG87"/>
    <mergeCell ref="AH86:AH87"/>
    <mergeCell ref="AF86:AF87"/>
    <mergeCell ref="AM86:AM87"/>
    <mergeCell ref="AN86:AN87"/>
    <mergeCell ref="AO86:AO87"/>
    <mergeCell ref="AP86:AP87"/>
    <mergeCell ref="AI90:AI91"/>
    <mergeCell ref="K90:K91"/>
    <mergeCell ref="Y90:Y91"/>
    <mergeCell ref="Z90:Z91"/>
    <mergeCell ref="AA90:AA91"/>
    <mergeCell ref="AB90:AB91"/>
    <mergeCell ref="J89:J92"/>
    <mergeCell ref="Q89:Q92"/>
    <mergeCell ref="V89:AB89"/>
    <mergeCell ref="AC89:AQ89"/>
    <mergeCell ref="AR90:AR91"/>
    <mergeCell ref="AG90:AG91"/>
    <mergeCell ref="AH90:AH91"/>
    <mergeCell ref="AF90:AF91"/>
    <mergeCell ref="AM90:AM91"/>
    <mergeCell ref="AN90:AN91"/>
    <mergeCell ref="AO90:AO91"/>
    <mergeCell ref="AP90:AP91"/>
    <mergeCell ref="AI104:AI105"/>
    <mergeCell ref="K104:K105"/>
    <mergeCell ref="Y104:Y105"/>
    <mergeCell ref="Z104:Z105"/>
    <mergeCell ref="AA104:AA105"/>
    <mergeCell ref="AB104:AB105"/>
    <mergeCell ref="J103:J106"/>
    <mergeCell ref="Q103:Q106"/>
    <mergeCell ref="V103:AB103"/>
    <mergeCell ref="AC103:AQ103"/>
    <mergeCell ref="AR104:AR105"/>
    <mergeCell ref="AG104:AG105"/>
    <mergeCell ref="AH104:AH105"/>
    <mergeCell ref="AF104:AF105"/>
    <mergeCell ref="AM104:AM105"/>
    <mergeCell ref="AN104:AN105"/>
    <mergeCell ref="AO104:AO105"/>
    <mergeCell ref="AP104:AP105"/>
    <mergeCell ref="AI108:AI109"/>
    <mergeCell ref="K108:K109"/>
    <mergeCell ref="Y108:Y109"/>
    <mergeCell ref="Z108:Z109"/>
    <mergeCell ref="AA108:AA109"/>
    <mergeCell ref="AB108:AB109"/>
    <mergeCell ref="J107:J110"/>
    <mergeCell ref="Q107:Q110"/>
    <mergeCell ref="V107:AB107"/>
    <mergeCell ref="AC107:AQ107"/>
    <mergeCell ref="AR108:AR109"/>
    <mergeCell ref="AG108:AG109"/>
    <mergeCell ref="AH108:AH109"/>
    <mergeCell ref="AF108:AF109"/>
    <mergeCell ref="AM108:AM109"/>
    <mergeCell ref="AN108:AN109"/>
    <mergeCell ref="AO108:AO109"/>
    <mergeCell ref="AP108:AP109"/>
    <mergeCell ref="AI122:AI123"/>
    <mergeCell ref="K122:K123"/>
    <mergeCell ref="Y122:Y123"/>
    <mergeCell ref="Z122:Z123"/>
    <mergeCell ref="AA122:AA123"/>
    <mergeCell ref="AB122:AB123"/>
    <mergeCell ref="J121:J124"/>
    <mergeCell ref="Q121:Q124"/>
    <mergeCell ref="V121:AB121"/>
    <mergeCell ref="AC121:AQ121"/>
    <mergeCell ref="AR122:AR123"/>
    <mergeCell ref="AG122:AG123"/>
    <mergeCell ref="AH122:AH123"/>
    <mergeCell ref="AF122:AF123"/>
    <mergeCell ref="AM122:AM123"/>
    <mergeCell ref="AN122:AN123"/>
    <mergeCell ref="AO122:AO123"/>
    <mergeCell ref="AP122:AP123"/>
    <mergeCell ref="AI126:AI127"/>
    <mergeCell ref="K126:K127"/>
    <mergeCell ref="Y126:Y127"/>
    <mergeCell ref="Z126:Z127"/>
    <mergeCell ref="AA126:AA127"/>
    <mergeCell ref="AB126:AB127"/>
    <mergeCell ref="J125:J128"/>
    <mergeCell ref="Q125:Q128"/>
    <mergeCell ref="V125:AB125"/>
    <mergeCell ref="AC125:AQ125"/>
    <mergeCell ref="AR126:AR127"/>
    <mergeCell ref="AG126:AG127"/>
    <mergeCell ref="AH126:AH127"/>
    <mergeCell ref="AF126:AF127"/>
    <mergeCell ref="AM126:AM127"/>
    <mergeCell ref="AN126:AN127"/>
    <mergeCell ref="AO126:AO127"/>
    <mergeCell ref="AP126:AP127"/>
    <mergeCell ref="AI140:AI141"/>
    <mergeCell ref="K140:K141"/>
    <mergeCell ref="Y140:Y141"/>
    <mergeCell ref="Z140:Z141"/>
    <mergeCell ref="AA140:AA141"/>
    <mergeCell ref="AB140:AB141"/>
    <mergeCell ref="J139:J142"/>
    <mergeCell ref="Q139:Q142"/>
    <mergeCell ref="V139:AB139"/>
    <mergeCell ref="AC139:AQ139"/>
    <mergeCell ref="AR140:AR141"/>
    <mergeCell ref="AG140:AG141"/>
    <mergeCell ref="AH140:AH141"/>
    <mergeCell ref="AF140:AF141"/>
    <mergeCell ref="AM140:AM141"/>
    <mergeCell ref="AN140:AN141"/>
    <mergeCell ref="AO140:AO141"/>
    <mergeCell ref="AP140:AP141"/>
    <mergeCell ref="AI144:AI145"/>
    <mergeCell ref="K144:K145"/>
    <mergeCell ref="Y144:Y145"/>
    <mergeCell ref="Z144:Z145"/>
    <mergeCell ref="AA144:AA145"/>
    <mergeCell ref="AB144:AB145"/>
    <mergeCell ref="J143:J146"/>
    <mergeCell ref="Q143:Q146"/>
    <mergeCell ref="V143:AB143"/>
    <mergeCell ref="AC143:AQ143"/>
    <mergeCell ref="AR144:AR145"/>
    <mergeCell ref="AG144:AG145"/>
    <mergeCell ref="AH144:AH145"/>
    <mergeCell ref="AF144:AF145"/>
    <mergeCell ref="AM144:AM145"/>
    <mergeCell ref="AN144:AN145"/>
    <mergeCell ref="AO144:AO145"/>
    <mergeCell ref="AP144:AP145"/>
    <mergeCell ref="AI148:AI149"/>
    <mergeCell ref="K148:K149"/>
    <mergeCell ref="Y148:Y149"/>
    <mergeCell ref="Z148:Z149"/>
    <mergeCell ref="AA148:AA149"/>
    <mergeCell ref="AB148:AB149"/>
    <mergeCell ref="J147:J150"/>
    <mergeCell ref="Q147:Q150"/>
    <mergeCell ref="V147:AB147"/>
    <mergeCell ref="AC147:AQ147"/>
    <mergeCell ref="AR148:AR149"/>
    <mergeCell ref="AG148:AG149"/>
    <mergeCell ref="AH148:AH149"/>
    <mergeCell ref="AF148:AF149"/>
    <mergeCell ref="AM148:AM149"/>
    <mergeCell ref="AN148:AN149"/>
    <mergeCell ref="AO148:AO149"/>
    <mergeCell ref="AP148:AP149"/>
    <mergeCell ref="AI160:AI161"/>
    <mergeCell ref="K160:K161"/>
    <mergeCell ref="Y160:Y161"/>
    <mergeCell ref="Z160:Z161"/>
    <mergeCell ref="AA160:AA161"/>
    <mergeCell ref="AB160:AB161"/>
    <mergeCell ref="J159:J162"/>
    <mergeCell ref="Q159:Q162"/>
    <mergeCell ref="V159:AB159"/>
    <mergeCell ref="AC159:AQ159"/>
    <mergeCell ref="AR160:AR161"/>
    <mergeCell ref="AG160:AG161"/>
    <mergeCell ref="AH160:AH161"/>
    <mergeCell ref="AF160:AF161"/>
    <mergeCell ref="AM160:AM161"/>
    <mergeCell ref="AN160:AN161"/>
    <mergeCell ref="AO160:AO161"/>
    <mergeCell ref="AP160:AP161"/>
    <mergeCell ref="AI164:AI165"/>
    <mergeCell ref="K164:K165"/>
    <mergeCell ref="Y164:Y165"/>
    <mergeCell ref="Z164:Z165"/>
    <mergeCell ref="AA164:AA165"/>
    <mergeCell ref="AB164:AB165"/>
    <mergeCell ref="J163:J166"/>
    <mergeCell ref="Q163:Q166"/>
    <mergeCell ref="V163:AB163"/>
    <mergeCell ref="AC163:AQ163"/>
    <mergeCell ref="AR164:AR165"/>
    <mergeCell ref="AG164:AG165"/>
    <mergeCell ref="AH164:AH165"/>
    <mergeCell ref="AF164:AF165"/>
    <mergeCell ref="AM164:AM165"/>
    <mergeCell ref="AN164:AN165"/>
    <mergeCell ref="AO164:AO165"/>
    <mergeCell ref="AP164:AP165"/>
    <mergeCell ref="AI178:AI179"/>
    <mergeCell ref="K178:K179"/>
    <mergeCell ref="Y178:Y179"/>
    <mergeCell ref="Z178:Z179"/>
    <mergeCell ref="AA178:AA179"/>
    <mergeCell ref="AB178:AB179"/>
    <mergeCell ref="J177:J180"/>
    <mergeCell ref="Q177:Q180"/>
    <mergeCell ref="V177:AB177"/>
    <mergeCell ref="AC177:AQ177"/>
    <mergeCell ref="AR178:AR179"/>
    <mergeCell ref="AG178:AG179"/>
    <mergeCell ref="AH178:AH179"/>
    <mergeCell ref="AF178:AF179"/>
    <mergeCell ref="AM178:AM179"/>
    <mergeCell ref="AN178:AN179"/>
    <mergeCell ref="AO178:AO179"/>
    <mergeCell ref="AP178:AP179"/>
    <mergeCell ref="AI182:AI183"/>
    <mergeCell ref="K182:K183"/>
    <mergeCell ref="Y182:Y183"/>
    <mergeCell ref="Z182:Z183"/>
    <mergeCell ref="AA182:AA183"/>
    <mergeCell ref="AB182:AB183"/>
    <mergeCell ref="J181:J184"/>
    <mergeCell ref="Q181:Q184"/>
    <mergeCell ref="V181:AB181"/>
    <mergeCell ref="AC181:AQ181"/>
    <mergeCell ref="AR182:AR183"/>
    <mergeCell ref="AG182:AG183"/>
    <mergeCell ref="AH182:AH183"/>
    <mergeCell ref="AF182:AF183"/>
    <mergeCell ref="AM182:AM183"/>
    <mergeCell ref="AN182:AN183"/>
    <mergeCell ref="AO182:AO183"/>
    <mergeCell ref="AP182:AP183"/>
    <mergeCell ref="AI196:AI197"/>
    <mergeCell ref="K196:K197"/>
    <mergeCell ref="Y196:Y197"/>
    <mergeCell ref="Z196:Z197"/>
    <mergeCell ref="AA196:AA197"/>
    <mergeCell ref="AB196:AB197"/>
    <mergeCell ref="J195:J198"/>
    <mergeCell ref="Q195:Q198"/>
    <mergeCell ref="V195:AB195"/>
    <mergeCell ref="AC195:AQ195"/>
    <mergeCell ref="AR196:AR197"/>
    <mergeCell ref="AG196:AG197"/>
    <mergeCell ref="AH196:AH197"/>
    <mergeCell ref="AF196:AF197"/>
    <mergeCell ref="AM196:AM197"/>
    <mergeCell ref="AN196:AN197"/>
    <mergeCell ref="AO196:AO197"/>
    <mergeCell ref="AP196:AP197"/>
    <mergeCell ref="AI200:AI201"/>
    <mergeCell ref="K200:K201"/>
    <mergeCell ref="Y200:Y201"/>
    <mergeCell ref="Z200:Z201"/>
    <mergeCell ref="AA200:AA201"/>
    <mergeCell ref="AB200:AB201"/>
    <mergeCell ref="J199:J202"/>
    <mergeCell ref="Q199:Q202"/>
    <mergeCell ref="V199:AB199"/>
    <mergeCell ref="AC199:AQ199"/>
    <mergeCell ref="AR200:AR201"/>
    <mergeCell ref="AG200:AG201"/>
    <mergeCell ref="AH200:AH201"/>
    <mergeCell ref="AF200:AF201"/>
    <mergeCell ref="AM200:AM201"/>
    <mergeCell ref="AN200:AN201"/>
    <mergeCell ref="AO200:AO201"/>
    <mergeCell ref="AP200:AP201"/>
    <mergeCell ref="AI214:AI215"/>
    <mergeCell ref="K214:K215"/>
    <mergeCell ref="Y214:Y215"/>
    <mergeCell ref="Z214:Z215"/>
    <mergeCell ref="AA214:AA215"/>
    <mergeCell ref="AB214:AB215"/>
    <mergeCell ref="J213:J216"/>
    <mergeCell ref="Q213:Q216"/>
    <mergeCell ref="V213:AB213"/>
    <mergeCell ref="AC213:AQ213"/>
    <mergeCell ref="AR214:AR215"/>
    <mergeCell ref="AG214:AG215"/>
    <mergeCell ref="AH214:AH215"/>
    <mergeCell ref="AF214:AF215"/>
    <mergeCell ref="AM214:AM215"/>
    <mergeCell ref="AN214:AN215"/>
    <mergeCell ref="AO214:AO215"/>
    <mergeCell ref="AP214:AP215"/>
    <mergeCell ref="AI218:AI219"/>
    <mergeCell ref="K218:K219"/>
    <mergeCell ref="Y218:Y219"/>
    <mergeCell ref="Z218:Z219"/>
    <mergeCell ref="AA218:AA219"/>
    <mergeCell ref="AB218:AB219"/>
    <mergeCell ref="J217:J220"/>
    <mergeCell ref="Q217:Q220"/>
    <mergeCell ref="V217:AB217"/>
    <mergeCell ref="AC217:AQ217"/>
    <mergeCell ref="AR218:AR219"/>
    <mergeCell ref="AG218:AG219"/>
    <mergeCell ref="AH218:AH219"/>
    <mergeCell ref="AF218:AF219"/>
    <mergeCell ref="AM218:AM219"/>
    <mergeCell ref="AN218:AN219"/>
    <mergeCell ref="AO218:AO219"/>
    <mergeCell ref="AP218:AP219"/>
    <mergeCell ref="AI232:AI233"/>
    <mergeCell ref="K232:K233"/>
    <mergeCell ref="Y232:Y233"/>
    <mergeCell ref="Z232:Z233"/>
    <mergeCell ref="AA232:AA233"/>
    <mergeCell ref="AB232:AB233"/>
    <mergeCell ref="J231:J234"/>
    <mergeCell ref="Q231:Q234"/>
    <mergeCell ref="V231:AB231"/>
    <mergeCell ref="AC231:AQ231"/>
    <mergeCell ref="AR232:AR233"/>
    <mergeCell ref="AG232:AG233"/>
    <mergeCell ref="AH232:AH233"/>
    <mergeCell ref="AF232:AF233"/>
    <mergeCell ref="AM232:AM233"/>
    <mergeCell ref="AN232:AN233"/>
    <mergeCell ref="AO232:AO233"/>
    <mergeCell ref="AP232:AP233"/>
    <mergeCell ref="AI236:AI237"/>
    <mergeCell ref="K236:K237"/>
    <mergeCell ref="Y236:Y237"/>
    <mergeCell ref="Z236:Z237"/>
    <mergeCell ref="AA236:AA237"/>
    <mergeCell ref="AB236:AB237"/>
    <mergeCell ref="J235:J238"/>
    <mergeCell ref="Q235:Q238"/>
    <mergeCell ref="V235:AB235"/>
    <mergeCell ref="AC235:AQ235"/>
    <mergeCell ref="AR236:AR237"/>
    <mergeCell ref="AG236:AG237"/>
    <mergeCell ref="AH236:AH237"/>
    <mergeCell ref="AF236:AF237"/>
    <mergeCell ref="AM236:AM237"/>
    <mergeCell ref="AN236:AN237"/>
    <mergeCell ref="AO236:AO237"/>
    <mergeCell ref="AP236:AP237"/>
    <mergeCell ref="AI250:AI251"/>
    <mergeCell ref="K250:K251"/>
    <mergeCell ref="Y250:Y251"/>
    <mergeCell ref="Z250:Z251"/>
    <mergeCell ref="AA250:AA251"/>
    <mergeCell ref="AB250:AB251"/>
    <mergeCell ref="J249:J252"/>
    <mergeCell ref="Q249:Q252"/>
    <mergeCell ref="V249:AB249"/>
    <mergeCell ref="AC249:AQ249"/>
    <mergeCell ref="AR250:AR251"/>
    <mergeCell ref="AG250:AG251"/>
    <mergeCell ref="AH250:AH251"/>
    <mergeCell ref="AF250:AF251"/>
    <mergeCell ref="AM250:AM251"/>
    <mergeCell ref="AN250:AN251"/>
    <mergeCell ref="AO250:AO251"/>
    <mergeCell ref="AP250:AP251"/>
    <mergeCell ref="AI254:AI255"/>
    <mergeCell ref="K254:K255"/>
    <mergeCell ref="Y254:Y255"/>
    <mergeCell ref="Z254:Z255"/>
    <mergeCell ref="AA254:AA255"/>
    <mergeCell ref="AB254:AB255"/>
    <mergeCell ref="J253:J256"/>
    <mergeCell ref="Q253:Q256"/>
    <mergeCell ref="V253:AB253"/>
    <mergeCell ref="AC253:AQ253"/>
    <mergeCell ref="AR254:AR255"/>
    <mergeCell ref="AG254:AG255"/>
    <mergeCell ref="AH254:AH255"/>
    <mergeCell ref="AF254:AF255"/>
    <mergeCell ref="AM254:AM255"/>
    <mergeCell ref="AN254:AN255"/>
    <mergeCell ref="AO254:AO255"/>
    <mergeCell ref="AP254:AP255"/>
    <mergeCell ref="AI268:AI269"/>
    <mergeCell ref="K268:K269"/>
    <mergeCell ref="Y268:Y269"/>
    <mergeCell ref="Z268:Z269"/>
    <mergeCell ref="AA268:AA269"/>
    <mergeCell ref="AB268:AB269"/>
    <mergeCell ref="J267:J270"/>
    <mergeCell ref="Q267:Q270"/>
    <mergeCell ref="V267:AB267"/>
    <mergeCell ref="AC267:AQ267"/>
    <mergeCell ref="AR268:AR269"/>
    <mergeCell ref="AG268:AG269"/>
    <mergeCell ref="AH268:AH269"/>
    <mergeCell ref="AF268:AF269"/>
    <mergeCell ref="AM268:AM269"/>
    <mergeCell ref="AN268:AN269"/>
    <mergeCell ref="AO268:AO269"/>
    <mergeCell ref="AP268:AP269"/>
    <mergeCell ref="AI272:AI273"/>
    <mergeCell ref="K272:K273"/>
    <mergeCell ref="Y272:Y273"/>
    <mergeCell ref="Z272:Z273"/>
    <mergeCell ref="AA272:AA273"/>
    <mergeCell ref="AB272:AB273"/>
    <mergeCell ref="J271:J274"/>
    <mergeCell ref="Q271:Q274"/>
    <mergeCell ref="V271:AB271"/>
    <mergeCell ref="AC271:AQ271"/>
    <mergeCell ref="AR272:AR273"/>
    <mergeCell ref="AG272:AG273"/>
    <mergeCell ref="AH272:AH273"/>
    <mergeCell ref="AF272:AF273"/>
    <mergeCell ref="AM272:AM273"/>
    <mergeCell ref="AN272:AN273"/>
    <mergeCell ref="AO272:AO273"/>
    <mergeCell ref="AP272:AP273"/>
    <mergeCell ref="AI286:AI287"/>
    <mergeCell ref="K286:K287"/>
    <mergeCell ref="Y286:Y287"/>
    <mergeCell ref="Z286:Z287"/>
    <mergeCell ref="AA286:AA287"/>
    <mergeCell ref="AB286:AB287"/>
    <mergeCell ref="J285:J288"/>
    <mergeCell ref="Q285:Q288"/>
    <mergeCell ref="V285:AB285"/>
    <mergeCell ref="AC285:AQ285"/>
    <mergeCell ref="AR286:AR287"/>
    <mergeCell ref="AG286:AG287"/>
    <mergeCell ref="AH286:AH287"/>
    <mergeCell ref="AF286:AF287"/>
    <mergeCell ref="AM286:AM287"/>
    <mergeCell ref="AN286:AN287"/>
    <mergeCell ref="AO286:AO287"/>
    <mergeCell ref="AP286:AP287"/>
    <mergeCell ref="AI290:AI291"/>
    <mergeCell ref="K290:K291"/>
    <mergeCell ref="Y290:Y291"/>
    <mergeCell ref="Z290:Z291"/>
    <mergeCell ref="AA290:AA291"/>
    <mergeCell ref="AB290:AB291"/>
    <mergeCell ref="J289:J292"/>
    <mergeCell ref="Q289:Q292"/>
    <mergeCell ref="V289:AB289"/>
    <mergeCell ref="AC289:AQ289"/>
    <mergeCell ref="AR290:AR291"/>
    <mergeCell ref="AG290:AG291"/>
    <mergeCell ref="AH290:AH291"/>
    <mergeCell ref="AF290:AF291"/>
    <mergeCell ref="AM290:AM291"/>
    <mergeCell ref="AN290:AN291"/>
    <mergeCell ref="AO290:AO291"/>
    <mergeCell ref="AP290:AP291"/>
    <mergeCell ref="AI304:AI305"/>
    <mergeCell ref="K304:K305"/>
    <mergeCell ref="Y304:Y305"/>
    <mergeCell ref="Z304:Z305"/>
    <mergeCell ref="AA304:AA305"/>
    <mergeCell ref="AB304:AB305"/>
    <mergeCell ref="J303:J306"/>
    <mergeCell ref="Q303:Q306"/>
    <mergeCell ref="V303:AB303"/>
    <mergeCell ref="AC303:AQ303"/>
    <mergeCell ref="AR304:AR305"/>
    <mergeCell ref="AG304:AG305"/>
    <mergeCell ref="AH304:AH305"/>
    <mergeCell ref="AF304:AF305"/>
    <mergeCell ref="AM304:AM305"/>
    <mergeCell ref="AN304:AN305"/>
    <mergeCell ref="AO304:AO305"/>
    <mergeCell ref="AP304:AP305"/>
    <mergeCell ref="AI308:AI309"/>
    <mergeCell ref="K308:K309"/>
    <mergeCell ref="Y308:Y309"/>
    <mergeCell ref="Z308:Z309"/>
    <mergeCell ref="AA308:AA309"/>
    <mergeCell ref="AB308:AB309"/>
    <mergeCell ref="J307:J310"/>
    <mergeCell ref="Q307:Q310"/>
    <mergeCell ref="V307:AB307"/>
    <mergeCell ref="AC307:AQ307"/>
    <mergeCell ref="AR308:AR309"/>
    <mergeCell ref="AG308:AG309"/>
    <mergeCell ref="AH308:AH309"/>
    <mergeCell ref="AF308:AF309"/>
    <mergeCell ref="AM308:AM309"/>
    <mergeCell ref="AN308:AN309"/>
    <mergeCell ref="AO308:AO309"/>
    <mergeCell ref="AP308:AP309"/>
    <mergeCell ref="AI322:AI323"/>
    <mergeCell ref="K322:K323"/>
    <mergeCell ref="Y322:Y323"/>
    <mergeCell ref="Z322:Z323"/>
    <mergeCell ref="AA322:AA323"/>
    <mergeCell ref="AB322:AB323"/>
    <mergeCell ref="J321:J324"/>
    <mergeCell ref="Q321:Q324"/>
    <mergeCell ref="V321:AB321"/>
    <mergeCell ref="AC321:AQ321"/>
    <mergeCell ref="AR322:AR323"/>
    <mergeCell ref="AG322:AG323"/>
    <mergeCell ref="AH322:AH323"/>
    <mergeCell ref="AF322:AF323"/>
    <mergeCell ref="AM322:AM323"/>
    <mergeCell ref="AN322:AN323"/>
    <mergeCell ref="AO322:AO323"/>
    <mergeCell ref="AP322:AP323"/>
    <mergeCell ref="AI326:AI327"/>
    <mergeCell ref="K326:K327"/>
    <mergeCell ref="Y326:Y327"/>
    <mergeCell ref="Z326:Z327"/>
    <mergeCell ref="AA326:AA327"/>
    <mergeCell ref="AB326:AB327"/>
    <mergeCell ref="J325:J328"/>
    <mergeCell ref="Q325:Q328"/>
    <mergeCell ref="V325:AB325"/>
    <mergeCell ref="AC325:AQ325"/>
    <mergeCell ref="AR326:AR327"/>
    <mergeCell ref="AG326:AG327"/>
    <mergeCell ref="AH326:AH327"/>
    <mergeCell ref="AF326:AF327"/>
    <mergeCell ref="AM326:AM327"/>
    <mergeCell ref="AN326:AN327"/>
    <mergeCell ref="AO326:AO327"/>
    <mergeCell ref="AP326:AP327"/>
    <mergeCell ref="AI340:AI341"/>
    <mergeCell ref="K340:K341"/>
    <mergeCell ref="Y340:Y341"/>
    <mergeCell ref="Z340:Z341"/>
    <mergeCell ref="AA340:AA341"/>
    <mergeCell ref="AB340:AB341"/>
    <mergeCell ref="J339:J342"/>
    <mergeCell ref="Q339:Q342"/>
    <mergeCell ref="V339:AB339"/>
    <mergeCell ref="AC339:AQ339"/>
    <mergeCell ref="AR340:AR341"/>
    <mergeCell ref="AG340:AG341"/>
    <mergeCell ref="AH340:AH341"/>
    <mergeCell ref="AF340:AF341"/>
    <mergeCell ref="AM340:AM341"/>
    <mergeCell ref="AN340:AN341"/>
    <mergeCell ref="AO340:AO341"/>
    <mergeCell ref="AP340:AP341"/>
    <mergeCell ref="AI344:AI345"/>
    <mergeCell ref="K344:K345"/>
    <mergeCell ref="Y344:Y345"/>
    <mergeCell ref="Z344:Z345"/>
    <mergeCell ref="AA344:AA345"/>
    <mergeCell ref="AB344:AB345"/>
    <mergeCell ref="J343:J346"/>
    <mergeCell ref="Q343:Q346"/>
    <mergeCell ref="V343:AB343"/>
    <mergeCell ref="AC343:AQ343"/>
    <mergeCell ref="AR344:AR345"/>
    <mergeCell ref="AG344:AG345"/>
    <mergeCell ref="AH344:AH345"/>
    <mergeCell ref="AF344:AF345"/>
    <mergeCell ref="AM344:AM345"/>
    <mergeCell ref="AN344:AN345"/>
    <mergeCell ref="AO344:AO345"/>
    <mergeCell ref="AP344:AP345"/>
    <mergeCell ref="AI358:AI359"/>
    <mergeCell ref="K358:K359"/>
    <mergeCell ref="Y358:Y359"/>
    <mergeCell ref="Z358:Z359"/>
    <mergeCell ref="AA358:AA359"/>
    <mergeCell ref="AB358:AB359"/>
    <mergeCell ref="J357:J360"/>
    <mergeCell ref="Q357:Q360"/>
    <mergeCell ref="V357:AB357"/>
    <mergeCell ref="AC357:AQ357"/>
    <mergeCell ref="AR358:AR359"/>
    <mergeCell ref="AG358:AG359"/>
    <mergeCell ref="AH358:AH359"/>
    <mergeCell ref="AF358:AF359"/>
    <mergeCell ref="AM358:AM359"/>
    <mergeCell ref="AN358:AN359"/>
    <mergeCell ref="AO358:AO359"/>
    <mergeCell ref="AP358:AP359"/>
    <mergeCell ref="AI362:AI363"/>
    <mergeCell ref="K362:K363"/>
    <mergeCell ref="Y362:Y363"/>
    <mergeCell ref="Z362:Z363"/>
    <mergeCell ref="AA362:AA363"/>
    <mergeCell ref="AB362:AB363"/>
    <mergeCell ref="J361:J364"/>
    <mergeCell ref="Q361:Q364"/>
    <mergeCell ref="V361:AB361"/>
    <mergeCell ref="AC361:AQ361"/>
    <mergeCell ref="AR362:AR363"/>
    <mergeCell ref="AG362:AG363"/>
    <mergeCell ref="AH362:AH363"/>
    <mergeCell ref="AF362:AF363"/>
    <mergeCell ref="AM362:AM363"/>
    <mergeCell ref="AN362:AN363"/>
    <mergeCell ref="AO362:AO363"/>
    <mergeCell ref="AP362:AP363"/>
    <mergeCell ref="AI374:AI375"/>
    <mergeCell ref="K374:K375"/>
    <mergeCell ref="Y374:Y375"/>
    <mergeCell ref="Z374:Z375"/>
    <mergeCell ref="AA374:AA375"/>
    <mergeCell ref="AB374:AB375"/>
    <mergeCell ref="J373:J376"/>
    <mergeCell ref="Q373:Q376"/>
    <mergeCell ref="V373:AB373"/>
    <mergeCell ref="AC373:AQ373"/>
    <mergeCell ref="AR374:AR375"/>
    <mergeCell ref="AG374:AG375"/>
    <mergeCell ref="AH374:AH375"/>
    <mergeCell ref="AF374:AF375"/>
    <mergeCell ref="AM374:AM375"/>
    <mergeCell ref="AN374:AN375"/>
    <mergeCell ref="AO374:AO375"/>
    <mergeCell ref="AP374:AP375"/>
    <mergeCell ref="AI378:AI379"/>
    <mergeCell ref="K378:K379"/>
    <mergeCell ref="Y378:Y379"/>
    <mergeCell ref="Z378:Z379"/>
    <mergeCell ref="AA378:AA379"/>
    <mergeCell ref="AB378:AB379"/>
    <mergeCell ref="J377:J380"/>
    <mergeCell ref="Q377:Q380"/>
    <mergeCell ref="V377:AB377"/>
    <mergeCell ref="AC377:AQ377"/>
    <mergeCell ref="AR378:AR379"/>
    <mergeCell ref="AG378:AG379"/>
    <mergeCell ref="AH378:AH379"/>
    <mergeCell ref="AF378:AF379"/>
    <mergeCell ref="AM378:AM379"/>
    <mergeCell ref="AN378:AN379"/>
    <mergeCell ref="AO378:AO379"/>
    <mergeCell ref="AP378:AP379"/>
  </mergeCells>
  <dataValidations count="8">
    <dataValidation type="list" allowBlank="1" showInputMessage="1" errorTitle="Ошибка" error="Выберите значение из списка" prompt="Выберите значение из списка" sqref="V983413:AQ983413 V65909:AQ65909 V131445:AQ131445 V196981:AQ196981 V262517:AQ262517 V328053:AQ328053 V393589:AQ393589 V459125:AQ459125 V524661:AQ524661 V590197:AQ590197 V655733:AQ655733 V721269:AQ721269 V786805:AQ786805 V852341:AQ852341 V917877:AQ917877">
      <formula1>kind_of_cons</formula1>
    </dataValidation>
    <dataValidation allowBlank="1" sqref="S131448:AR131454 S196984:AR196990 S262520:AR262526 S328056:AR328062 S393592:AR393598 S459128:AR459134 S524664:AR524670 S590200:AR590206 S655736:AR655742 S721272:AR721278 S786808:AR786814 S852344:AR852350 S917880:AR917886 S983416:AR983422 S65912:AR65918"/>
    <dataValidation allowBlank="1" showInputMessage="1" showErrorMessage="1" prompt="Для выбора выполните двойной щелчок левой клавиши мыши по соответствующей ячейке." sqref="Z65910 Z131446 Z196982 Z262518 Z328054 Z393590 Z459126 Z524662 Z590198 Z655734 Z721270 Z786806 Z852342 Z917878 Z983414 AB131446 AB459126 AB196982 AB262518 AB328054 AB393590 AB524662 AB590198 AB655734 AB721270 AB786806 AB852342 AB917878 AB983414 AB65910 AG65910 AG131446 AG196982 AG262518 AG328054 AG393590 AG459126 AG524662 AG590198 AG655734 AG721270 AG786806 AG852342 AG917878 AG983414 AI524662:AP524662 AI196982:AP196982 AI590198:AP590198 AI655734:AP655734 AI15 AI721270:AP721270 AI786806:AP786806 AI852342:AP852342 AI917878:AP917878 AI983414:AP983414 AI65910:AP65910 AI131446:AP131446 AI459126:AP459126 AI262518:AP262518 AI7 AN7 AP7 AG46 AI328054:AP328054 AG15 AG7 Z7 AB7 AI393590:AP393590 AI46 AN46 AP46 Z46 AB46 Z64 AB64 AG64 AI64 AN64 AP64 Z82 AB82 AG82 AI82 AN82 AP82 Z100 AB100 AG100 AI100 AN100 AP100 Z118 AB118 AG118 AI118 AN118 AP118 Z136 AB136 AG136 AI136 AN136 AP136 Z156 AB156 AG156 AI156 AN156 AP156 Z174 AB174 AG174 AI174 AN174 AP174 Z192 AB192 AG192 AI192 AN192 AP192 Z210 AB210 AG210 AI210 AN210 AP210 Z228 AB228 AG228 AI228 AN228 AP228 Z246 AB246 AG246 AI246 AN246 AP246 Z264 AB264 AG264 AI264 AN264 AP264 Z282 AB282 AG282 AI282 AN282 AP282 Z300 AB300 AG300 AI300 AN300 AP300 Z318 AB318 AG318 AI318 AN318 AP318 Z336 AB336 AG336 AI336 AN336 AP336 Z354 AB354 AG354 AI354 AN354 AP354 Z370 AB370 AG370 AI370 AN370 AP370 Z50 AB50 AG50 AI50 AN50 AP50 Z54 AB54 AG54 AI54 AN54 AP54 Z68 AB68 AG68 AI68 AN68 AP68 Z72 AB72 AG72 AI72 AN72 AP72 Z86 AB86 AG86 AI86 AN86 AP86 Z90 AB90 AG90 AI90 AN90 AP90 Z104 AB104 AG104 AI104 AN104 AP104 Z108 AB108 AG108 AI108 AN108 AP108 Z122 AB122 AG122 AI122 AN122 AP122 Z126 AB126 AG126 AI126 AN126 AP126 Z140 AB140 AG140 AI140 AN140 AP140 Z144 AB144 AG144 AI144 AN144 AP144 Z148 AB148 AG148 AI148 AN148 AP148 Z160 AB160 AG160 AI160 AN160 AP160 Z164 AB164 AG164 AI164 AN164 AP164 Z178 AB178 AG178 AI178 AN178 AP178 Z182 AB182 AG182 AI182 AN182 AP182 Z196 AB196 AG196 AI196 AN196 AP196 Z200 AB200 AG200 AI200 AN200 AP200 Z214 AB214 AG214 AI214 AN214 AP214 Z218 AB218 AG218 AI218 AN218 AP218 Z232 AB232 AG232 AI232 AN232 AP232 Z236 AB236 AG236 AI236 AN236 AP236 Z250 AB250 AG250 AI250 AN250 AP250 Z254 AB254 AG254 AI254 AN254 AP254 Z268 AB268 AG268 AI268 AN268 AP268 Z272 AB272 AG272 AI272 AN272 AP272 Z286 AB286 AG286 AI286 AN286 AP286 Z290 AB290 AG290 AI290 AN290 AP290 Z304 AB304 AG304 AI304 AN304 AP304 Z308 AB308 AG308 AI308 AN308 AP308 Z322 AB322 AG322 AI322 AN322 AP322 Z326 AB326 AG326 AI326 AN326 AP326 Z340 AB340 AG340 AI340 AN340 AP340 Z344 AB344 AG344 AI344 AN344 AP344 Z358 AB358 AG358 AI358 AN358 AP358 Z362 AB362 AG362 AI362 AN362 AP362 Z374 AB374 AG374 AI374 AN374 AP374 Z378 AB378 AG378 AI378 AN378 AP37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910 Y131446 Y196982 Y262518 Y328054 Y393590 Y459126 Y524662 Y590198 Y655734 Y721270 Y786806 Y852342 Y917878 Y983414 AA65910 AA131446 AA196982 AA262518 AA328054 AA393590 AA459126 AA524662 AA590198 AA655734 AA721270 AA786806 AA852342 AA917878 AA983414 AF15 AF65910 AF131446 AF196982 AF262518 AF328054 AF393590 AF459126 AF524662 AF590198 AF655734 AF721270 AF786806 AF852342 AF917878 AF983414 AH65910 AH131446 AH196982 AH262518 AH328054 AH393590 AH459126 AH524662 AH590198 AH655734 AH721270 AH786806 AH852342 AH917878 AH983414 AH46 AF46 AH15 AH7 AF7 Y7 AA7 Y46 AA46 Y64 AA64 AF64 AH64 Y82 AA82 AF82 AH82 Y100 AA100 AF100 AH100 Y118 AA118 AF118 AH118 Y136 AA136 AF136 AH136 Y156 AA156 AF156 AH156 Y174 AA174 AF174 AH174 Y192 AA192 AF192 AH192 Y210 AA210 AF210 AH210 Y228 AA228 AF228 AH228 Y246 AA246 AF246 AH246 Y264 AA264 AF264 AH264 Y282 AA282 AF282 AH282 Y300 AA300 AF300 AH300 Y318 AA318 AF318 AH318 Y336 AA336 AF336 AH336 Y354 AA354 AF354 AH354 Y370 AA370 AF370 AH370 Y50 AA50 AF50 AH50 Y54 AA54 AF54 AH54 AM7 AO7 AM46 AO46 AM50 AO50 AM54 AO54 AM64 AO64 AM82 AO82 AM100 AO100 AM118 AO118 AM136 AO136 AM156 AO156 AM174 AO174 AM192 AO192 AM210 AO210 AM228 AO228 AM246 AO246 AM264 AO264 AM282 AO282 AM300 AO300 AM318 AO318 AM336 AO336 AM354 AO354 AM370 AO370 Y68 AA68 AF68 AH68 AM68 AO68 Y72 AA72 AF72 AH72 AM72 AO72 Y86 AA86 AF86 AH86 AM86 AO86 Y90 AA90 AF90 AH90 AM90 AO90 Y104 AA104 AF104 AH104 AM104 AO104 Y108 AA108 AF108 AH108 AM108 AO108 Y122 AA122 AF122 AH122 AM122 AO122 Y126 AA126 AF126 AH126 AM126 AO126 Y140 AA140 AF140 AH140 AM140 AO140 Y144 AA144 AF144 AH144 AM144 AO144 Y148 AA148 AF148 AH148 AM148 AO148 Y160 AA160 AF160 AH160 AM160 AO160 Y164 AA164 AF164 AH164 AM164 AO164 Y178 AA178 AF178 AH178 AM178 AO178 Y182 AA182 AF182 AH182 AM182 AO182 Y196 AA196 AF196 AH196 AM196 AO196 Y200 AA200 AF200 AH200 AM200 AO200 Y214 AA214 AF214 AH214 AM214 AO214 Y218 AA218 AF218 AH218 AM218 AO218 Y232 AA232 AF232 AH232 AM232 AO232 Y236 AA236 AF236 AH236 AM236 AO236 Y250 AA250 AF250 AH250 AM250 AO250 Y254 AA254 AF254 AH254 AM254 AO254 Y268 AA268 AF268 AH268 AM268 AO268 Y272 AA272 AF272 AH272 AM272 AO272 Y286 AA286 AF286 AH286 AM286 AO286 Y290 AA290 AF290 AH290 AM290 AO290 Y304 AA304 AF304 AH304 AM304 AO304 Y308 AA308 AF308 AH308 AM308 AO308 Y322 AA322 AF322 AH322 AM322 AO322 Y326 AA326 AF326 AH326 AM326 AO326 Y340 AA340 AF340 AH340 AM340 AO340 Y344 AA344 AF344 AH344 AM344 AO344 Y358 AA358 AF358 AH358 AM358 AO358 Y362 AA362 AF362 AH362 AM362 AO362 Y374 AA374 AF374 AH374 AM374 AO374 Y378 AA378 AF378 AH378 AM378 AO378"/>
    <dataValidation type="list" allowBlank="1" showInputMessage="1" showErrorMessage="1" errorTitle="Ошибка" error="Выберите значение из списка" sqref="T65910 T131446 T196982 T262518 T328054 T393590 T459126 T524662 T590198 T655734 T721270 T786806 T852342 T917878 T983414">
      <formula1>kind_of_heat_transfer</formula1>
    </dataValidation>
    <dataValidation type="textLength" operator="lessThanOrEqual" allowBlank="1" showInputMessage="1" showErrorMessage="1" errorTitle="Ошибка" error="Допускается ввод не более 900 символов!" sqref="AR65904:AR65911 AR131440:AR131447 AR196976:AR196983 AR262512:AR262519 AR328048:AR328055 AR393584:AR393591 AR459120:AR459127 AR524656:AR524663 AR590192:AR590199 AR655728:AR655735 AR721264:AR721271 AR786800:AR786807 AR852336:AR852343 AR917872:AR917879 AR983408:AR983415 T46 T7 AC5:AI5 AQ5 AC44:AI44 AQ44 AC62 AD62 AE62 AF62 AG62 AH62 AI62 AQ62 T64 AC80 AD80 AE80 AF80 AG80 AH80 AI80 AQ80 T82 AC98 AD98 AE98 AF98 AG98 AH98 AI98 AQ98 T100 AC116 AD116 AE116 AF116 AG116 AH116 AI116 AQ116 T118 AC134 AD134 AE134 AF134 AG134 AH134 AI134 AQ134 T136 AC154 AD154 AE154 AF154 AG154 AH154 AI154 AQ154 T156 AC172 AD172 AE172 AF172 AG172 AH172 AI172 AQ172 T174 AC190 AD190 AE190 AF190 AG190 AH190 AI190 AQ190 T192 AC208 AD208 AE208 AF208 AG208 AH208 AI208 AQ208 T210 AC226 AD226 AE226 AF226 AG226 AH226 AI226 AQ226 T228 AC244 AD244 AE244 AF244 AG244 AH244 AI244 AQ244 T246 AC262 AD262 AE262 AF262 AG262 AH262 AI262 AQ262 T264 AC280 AD280 AE280 AF280 AG280 AH280 AI280 AQ280 T282 AC298 AD298 AE298 AF298 AG298 AH298 AI298 AQ298 T300 AC316 AD316 AE316 AF316 AG316 AH316 AI316 AQ316 T318 AC334 AD334 AE334 AF334 AG334 AH334 AI334 AQ334 T336 AC352 AD352 AE352 AF352 AG352 AH352 AI352 AQ352 T354 AC368 AD368 AE368 AF368 AG368 AH368 AI368 AQ368 T370 T50 T54 T68 T72 T86 T90 T104 T108 T122 T126 T140 T144 T148 T160 T164 T178 T182 T196 T200 T214 T218 T232 T236 T250 T254 T268 T272 T286 T290 T304 T308 T322 T326 T340 T344 T358 T362 T374 T378">
      <formula1>900</formula1>
    </dataValidation>
    <dataValidation type="list" allowBlank="1" showInputMessage="1" showErrorMessage="1" errorTitle="Ошибка" error="Выберите значение из списка" sqref="V983412 V65908 V131444 V196980 V262516 V328052 V393588 V459124 V524660 V590196 V655732 V721268 V786804 V852340 V917876 AC983412 AC65908 AC131444 AC196980 AC262516 AC328052 AC393588 AC459124 AC524660 AC590196 AC655732 AC721268 AC786804 AC852340 AC917876">
      <formula1>kind_of_scheme_in</formula1>
    </dataValidation>
    <dataValidation allowBlank="1" promptTitle="checkPeriodRange" sqref="X65911 X131447 X196983 X262519 X328055 X393591 X459127 X524663 X590199 X655735 X721271 X786807 X852343 X917879 X983415 AE16 AE65911 AE131447 AE196983 AE262519 AE328055 AE393591 AE459127 AE524663 AE590199 AE655735 AE721271 AE786807 AE852343 AE917879 AE983415 AE47 AE8 X8 X47 X65 AE65 X83 AE83 X101 AE101 X119 AE119 X137 AE137 X157 AE157 X175 AE175 X193 AE193 X211 AE211 X229 AE229 X247 AE247 X265 AE265 X283 AE283 X301 AE301 X319 AE319 X337 AE337 X355 AE355 X371 AE371 X51 AE51 X55 AE55 AL8 AL47 AL51 AL55 AL65 AL83 AL101 AL119 AL137 AL157 AL175 AL193 AL211 AL229 AL247 AL265 AL283 AL301 AL319 AL337 AL355 AL371 X69 AE69 AL69 X73 AE73 AL73 X87 AE87 AL87 X91 AE91 AL91 X105 AE105 AL105 X109 AE109 AL109 X123 AE123 AL123 X127 AE127 AL127 X141 AE141 AL141 X145 AE145 AL145 X149 AE149 AL149 X161 AE161 AL161 X165 AE165 AL165 X179 AE179 AL179 X183 AE183 AL183 X197 AE197 AL197 X201 AE201 AL201 X215 AE215 AL215 X219 AE219 AL219 X233 AE233 AL233 X237 AE237 AL237 X251 AE251 AL251 X255 AE255 AL255 X269 AE269 AL269 X273 AE273 AL273 X287 AE287 AL287 X291 AE291 AL291 X305 AE305 AL305 X309 AE309 AL309 X323 AE323 AL323 X327 AE327 AL327 X341 AE341 AL341 X345 AE345 AL345 X359 AE359 AL359 X363 AE363 AL363 X375 AE375 AL375 X379 AE379 AL379"/>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657482-49CE-5B3E-D097-03E07079E0B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354" width="10.57421875" hidden="1"/>
    <col min="2" max="2" style="8354" width="11.00390625" hidden="1" customWidth="1"/>
    <col min="3" max="3" style="8354" width="10.57421875" hidden="1"/>
    <col min="4" max="4" style="8354" width="11.8515625" hidden="1" customWidth="1"/>
    <col min="5" max="5" style="8354" width="10.00390625" hidden="1" customWidth="1"/>
    <col min="6" max="6" style="8354" width="8.7109375" hidden="1" customWidth="1"/>
    <col min="7" max="7" style="8354" width="7.57421875" hidden="1" customWidth="1"/>
    <col min="8" max="8" style="8354" width="11.421875" hidden="1" customWidth="1"/>
    <col min="9" max="9" style="8354" width="14.140625" hidden="1" customWidth="1"/>
    <col min="10" max="10" style="8354" width="9.8515625" hidden="1" customWidth="1"/>
    <col min="11" max="11" style="8354" width="14.7109375" hidden="1" customWidth="1"/>
    <col min="12" max="12" style="9204" width="19.140625" hidden="1" customWidth="1"/>
    <col min="13" max="14" style="9205" width="12.28125" hidden="1" customWidth="1"/>
    <col min="15" max="15" style="9205" width="23.421875" hidden="1" customWidth="1"/>
    <col min="16" max="16" style="9206" width="3.00390625" customWidth="1"/>
    <col min="17" max="18" style="9207" width="3.00390625" customWidth="1"/>
    <col min="19" max="19" style="9208" width="12.00390625" customWidth="1"/>
    <col min="20" max="20" style="8273" width="35.00390625" customWidth="1"/>
    <col min="21" max="21" style="8273" width="0.140625" customWidth="1"/>
    <col min="22" max="24" style="8273" width="24.7109375" hidden="1" customWidth="1"/>
    <col min="25" max="25" style="8273" width="11.7109375" hidden="1" customWidth="1"/>
    <col min="26" max="26" style="8273" width="3.7109375" hidden="1" customWidth="1"/>
    <col min="27" max="27" style="8273" width="11.7109375" hidden="1" customWidth="1"/>
    <col min="28" max="28" style="8273" width="8.57421875" hidden="1" customWidth="1"/>
    <col min="29" max="29" style="8273" width="24.7109375" customWidth="1"/>
    <col min="30" max="31" style="8273" width="24.00390625" customWidth="1"/>
    <col min="32" max="32" style="8273" width="11.00390625" customWidth="1"/>
    <col min="33" max="33" style="8273" width="3.7109375" customWidth="1"/>
    <col min="34" max="34" style="8273" width="11.00390625" customWidth="1"/>
    <col min="35" max="35" style="8273" width="8.57421875" hidden="1" customWidth="1"/>
    <col min="36" max="36" style="8273" width="4.00390625" customWidth="1"/>
    <col min="37" max="37" style="8273" width="115.00390625" customWidth="1"/>
    <col min="38" max="42" style="8355" width="10.00390625" customWidth="1"/>
    <col min="43" max="43" style="827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198</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525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526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606</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607</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608</v>
      </c>
      <c r="U5" s="413"/>
      <c r="V5" s="2463"/>
      <c r="W5" s="2464"/>
      <c r="X5" s="2464"/>
      <c r="Y5" s="2464"/>
      <c r="Z5" s="2464"/>
      <c r="AA5" s="2464"/>
      <c r="AB5" s="2465"/>
      <c r="AC5" s="2466"/>
      <c r="AD5" s="2467"/>
      <c r="AE5" s="2467"/>
      <c r="AF5" s="2467"/>
      <c r="AG5" s="2467"/>
      <c r="AH5" s="2467"/>
      <c r="AI5" s="2467"/>
      <c r="AJ5" s="2468"/>
      <c r="AK5" s="1371" t="s">
        <v>609</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534</v>
      </c>
      <c r="P6" s="2370"/>
      <c r="Q6" s="2370">
        <v>1</v>
      </c>
      <c r="R6" s="470"/>
      <c r="S6" s="1570">
        <f>$J6</f>
      </c>
      <c r="T6" s="399" t="s">
        <v>535</v>
      </c>
      <c r="U6" s="413"/>
      <c r="V6" s="2358"/>
      <c r="W6" s="2359"/>
      <c r="X6" s="2359"/>
      <c r="Y6" s="2359"/>
      <c r="Z6" s="2359"/>
      <c r="AA6" s="2359"/>
      <c r="AB6" s="2360"/>
      <c r="AC6" s="2358"/>
      <c r="AD6" s="2359"/>
      <c r="AE6" s="2359"/>
      <c r="AF6" s="2359"/>
      <c r="AG6" s="2359"/>
      <c r="AH6" s="2359"/>
      <c r="AI6" s="2359"/>
      <c r="AJ6" s="2360"/>
      <c r="AK6" s="1420" t="s">
        <v>610</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611</v>
      </c>
      <c r="U9" s="480"/>
      <c r="V9" s="480"/>
      <c r="W9" s="480"/>
      <c r="X9" s="480"/>
      <c r="Y9" s="480"/>
      <c r="Z9" s="480"/>
      <c r="AA9" s="480"/>
      <c r="AB9" s="480"/>
      <c r="AC9" s="480"/>
      <c r="AD9" s="480"/>
      <c r="AE9" s="480"/>
      <c r="AF9" s="480"/>
      <c r="AG9" s="480"/>
      <c r="AH9" s="480"/>
      <c r="AI9" s="480"/>
      <c r="AJ9" s="480"/>
      <c r="AK9" s="1371" t="s">
        <v>612</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540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613</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8355"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298</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835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355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8354" customFormat="1" customHeight="1" ht="22.5" hidden="1">
      <c r="L18" s="1560"/>
      <c r="M18" s="1475"/>
      <c r="N18" s="1475"/>
      <c r="O18" s="1480" t="s">
        <v>543</v>
      </c>
      <c r="P18" s="1475"/>
      <c r="Q18" s="1484"/>
      <c r="R18" s="1484"/>
      <c r="S18" s="842"/>
      <c r="Y18" s="1480"/>
      <c r="AA18" s="1480"/>
      <c r="AB18" s="1479"/>
      <c r="AF18" s="1480"/>
      <c r="AH18" s="1480"/>
      <c r="AI18" s="1479"/>
      <c r="AL18" s="624"/>
      <c r="AM18" s="624"/>
      <c r="AN18" s="624"/>
      <c r="AO18" s="624"/>
      <c r="AP18" s="624"/>
      <c r="AQ18" s="1273">
        <v>0</v>
      </c>
    </row>
    <row s="8354" customFormat="1" customHeight="1" ht="14.25" hidden="1">
      <c r="L19" s="1560"/>
      <c r="M19" s="1475"/>
      <c r="N19" s="1475"/>
      <c r="O19" s="1475"/>
      <c r="P19" s="1475"/>
      <c r="Q19" s="1484"/>
      <c r="R19" s="1484"/>
      <c r="S19" s="842"/>
      <c r="AB19" s="1479"/>
      <c r="AI19" s="1479"/>
      <c r="AL19" s="624"/>
      <c r="AM19" s="624"/>
      <c r="AN19" s="624"/>
      <c r="AO19" s="624"/>
      <c r="AP19" s="624"/>
      <c r="AQ19" s="1273">
        <v>0</v>
      </c>
    </row>
    <row s="8354" customFormat="1" customHeight="1" ht="12" hidden="1">
      <c r="L20" s="1560"/>
      <c r="M20" s="1475"/>
      <c r="N20" s="1475"/>
      <c r="O20" s="1477" t="s">
        <v>544</v>
      </c>
      <c r="P20" s="1475"/>
      <c r="Q20" s="1555"/>
      <c r="R20" s="1555"/>
      <c r="S20" s="842"/>
      <c r="T20" s="1273" t="s">
        <v>545</v>
      </c>
      <c r="Z20" s="299" t="s">
        <v>546</v>
      </c>
      <c r="AB20" s="299" t="s">
        <v>547</v>
      </c>
      <c r="AC20" s="1273" t="s">
        <v>545</v>
      </c>
      <c r="AG20" s="299" t="s">
        <v>548</v>
      </c>
      <c r="AI20" s="299" t="s">
        <v>547</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МУП ЖКХ "Родник"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8491"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8491" customFormat="1" customHeight="1" ht="18.75" hidden="1">
      <c r="A28" s="1481"/>
      <c r="B28" s="1481"/>
      <c r="C28" s="1481"/>
      <c r="D28" s="1481"/>
      <c r="E28" s="1481"/>
      <c r="F28" s="1481"/>
      <c r="G28" s="1481"/>
      <c r="H28" s="1481"/>
      <c r="I28" s="1481"/>
      <c r="J28" s="1481"/>
      <c r="K28" s="1481"/>
      <c r="L28" s="1482"/>
      <c r="M28" s="1481"/>
      <c r="N28" s="1481"/>
      <c r="O28" s="1481"/>
      <c r="S28" s="2363" t="s">
        <v>549</v>
      </c>
      <c r="T28" s="2363"/>
      <c r="U28" s="1485"/>
      <c r="V28" s="2377" t="str">
        <f>IF(TITLE_DATE_PR_CHANGE="",IF(TITLE_DATE_PR="","",TITLE_DATE_PR),TITLE_DATE_PR_CHANGE)</f>
        <v>45586</v>
      </c>
      <c r="W28" s="2377"/>
      <c r="X28" s="2377"/>
      <c r="Y28" s="2377"/>
      <c r="Z28" s="2377"/>
      <c r="AA28" s="2377"/>
      <c r="AB28" s="439"/>
      <c r="AC28" s="2377" t="str">
        <f>IF(TITLE_DATE_PR_CHANGE="",IF(TITLE_DATE_PR="","",TITLE_DATE_PR),TITLE_DATE_PR_CHANGE)</f>
        <v>45586</v>
      </c>
      <c r="AD28" s="2377"/>
      <c r="AE28" s="2377"/>
      <c r="AF28" s="2377"/>
      <c r="AG28" s="2377"/>
      <c r="AH28" s="2377"/>
      <c r="AI28" s="439"/>
      <c r="AJ28" s="439"/>
      <c r="AK28" s="393"/>
      <c r="AL28" s="481"/>
      <c r="AM28" s="481"/>
      <c r="AN28" s="481"/>
      <c r="AO28" s="481"/>
      <c r="AP28" s="481"/>
      <c r="AQ28" s="531">
        <v>0</v>
      </c>
    </row>
    <row s="8491" customFormat="1" customHeight="1" ht="18.75" hidden="1">
      <c r="A29" s="1481"/>
      <c r="B29" s="1481"/>
      <c r="C29" s="1481"/>
      <c r="D29" s="1481"/>
      <c r="E29" s="1481"/>
      <c r="F29" s="1481"/>
      <c r="G29" s="1481"/>
      <c r="H29" s="1481"/>
      <c r="I29" s="1481"/>
      <c r="J29" s="1481"/>
      <c r="K29" s="1481"/>
      <c r="L29" s="1482"/>
      <c r="M29" s="1481"/>
      <c r="N29" s="1481"/>
      <c r="O29" s="1481"/>
      <c r="S29" s="2363" t="s">
        <v>550</v>
      </c>
      <c r="T29" s="2363"/>
      <c r="U29" s="1485"/>
      <c r="V29" s="2364" t="str">
        <f>IF(TITLE_NUMBER_PR_CHANGE="",IF(TITLE_NUMBER_PR="","",TITLE_NUMBER_PR),TITLE_NUMBER_PR_CHANGE)</f>
        <v>1577</v>
      </c>
      <c r="W29" s="2364"/>
      <c r="X29" s="2364"/>
      <c r="Y29" s="2364"/>
      <c r="Z29" s="2364"/>
      <c r="AA29" s="2364"/>
      <c r="AB29" s="439"/>
      <c r="AC29" s="2364" t="str">
        <f>IF(TITLE_NUMBER_PR_CHANGE="",IF(TITLE_NUMBER_PR="","",TITLE_NUMBER_PR),TITLE_NUMBER_PR_CHANGE)</f>
        <v>1577</v>
      </c>
      <c r="AD29" s="2364"/>
      <c r="AE29" s="2364"/>
      <c r="AF29" s="2364"/>
      <c r="AG29" s="2364"/>
      <c r="AH29" s="2364"/>
      <c r="AI29" s="439"/>
      <c r="AJ29" s="439"/>
      <c r="AK29" s="393"/>
      <c r="AL29" s="481"/>
      <c r="AM29" s="481"/>
      <c r="AN29" s="481"/>
      <c r="AO29" s="481"/>
      <c r="AP29" s="481"/>
      <c r="AQ29" s="531">
        <v>0</v>
      </c>
    </row>
    <row s="8491"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8491" customFormat="1" customHeight="1" ht="18.75">
      <c r="A32" s="1481"/>
      <c r="B32" s="1481"/>
      <c r="C32" s="1481"/>
      <c r="D32" s="1481"/>
      <c r="E32" s="1481"/>
      <c r="F32" s="1481"/>
      <c r="G32" s="1481"/>
      <c r="H32" s="1481"/>
      <c r="I32" s="1481"/>
      <c r="J32" s="1481"/>
      <c r="K32" s="1481"/>
      <c r="L32" s="1482"/>
      <c r="M32" s="1481"/>
      <c r="N32" s="1481"/>
      <c r="O32" s="1481"/>
      <c r="S32" s="2363" t="s">
        <v>551</v>
      </c>
      <c r="T32" s="2363"/>
      <c r="U32" s="1485"/>
      <c r="V32" s="2377" t="str">
        <f>IF(TITLE_DATE_PR_CHANGE="",IF(TITLE_DATE_PR="","",TITLE_DATE_PR),TITLE_DATE_PR_CHANGE)</f>
        <v>45586</v>
      </c>
      <c r="W32" s="2377"/>
      <c r="X32" s="2377"/>
      <c r="Y32" s="2377"/>
      <c r="Z32" s="2377"/>
      <c r="AA32" s="2377"/>
      <c r="AB32" s="439"/>
      <c r="AC32" s="2377" t="str">
        <f>IF(TITLE_DATE_PR_CHANGE="",IF(TITLE_DATE_PR="","",TITLE_DATE_PR),TITLE_DATE_PR_CHANGE)</f>
        <v>45586</v>
      </c>
      <c r="AD32" s="2377"/>
      <c r="AE32" s="2377"/>
      <c r="AF32" s="2377"/>
      <c r="AG32" s="2377"/>
      <c r="AH32" s="2377"/>
      <c r="AI32" s="439"/>
      <c r="AJ32" s="439"/>
      <c r="AK32" s="393"/>
      <c r="AL32" s="481"/>
      <c r="AM32" s="481"/>
      <c r="AN32" s="481"/>
      <c r="AO32" s="481"/>
      <c r="AP32" s="481"/>
      <c r="AQ32" s="531">
        <v>0</v>
      </c>
    </row>
    <row s="8491" customFormat="1" customHeight="1" ht="18.75">
      <c r="A33" s="1481"/>
      <c r="B33" s="1481"/>
      <c r="C33" s="1481"/>
      <c r="D33" s="1481"/>
      <c r="E33" s="1481"/>
      <c r="F33" s="1481"/>
      <c r="G33" s="1481"/>
      <c r="H33" s="1481"/>
      <c r="I33" s="1481"/>
      <c r="J33" s="1481"/>
      <c r="K33" s="1481"/>
      <c r="L33" s="1482"/>
      <c r="M33" s="1481"/>
      <c r="N33" s="1481"/>
      <c r="O33" s="1481"/>
      <c r="S33" s="2363" t="s">
        <v>552</v>
      </c>
      <c r="T33" s="2363"/>
      <c r="U33" s="1485"/>
      <c r="V33" s="2364" t="str">
        <f>IF(TITLE_NUMBER_PR_CHANGE="",IF(TITLE_NUMBER_PR="","",TITLE_NUMBER_PR),TITLE_NUMBER_PR_CHANGE)</f>
        <v>1577</v>
      </c>
      <c r="W33" s="2364"/>
      <c r="X33" s="2364"/>
      <c r="Y33" s="2364"/>
      <c r="Z33" s="2364"/>
      <c r="AA33" s="2364"/>
      <c r="AB33" s="439"/>
      <c r="AC33" s="2364" t="str">
        <f>IF(TITLE_NUMBER_PR_CHANGE="",IF(TITLE_NUMBER_PR="","",TITLE_NUMBER_PR),TITLE_NUMBER_PR_CHANGE)</f>
        <v>1577</v>
      </c>
      <c r="AD33" s="2364"/>
      <c r="AE33" s="2364"/>
      <c r="AF33" s="2364"/>
      <c r="AG33" s="2364"/>
      <c r="AH33" s="2364"/>
      <c r="AI33" s="439"/>
      <c r="AJ33" s="439"/>
      <c r="AK33" s="393"/>
      <c r="AL33" s="481"/>
      <c r="AM33" s="481"/>
      <c r="AN33" s="481"/>
      <c r="AO33" s="481"/>
      <c r="AP33" s="481"/>
      <c r="AQ33" s="531">
        <v>0</v>
      </c>
    </row>
    <row s="8491"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553</v>
      </c>
      <c r="AC34" s="439"/>
      <c r="AD34" s="439"/>
      <c r="AE34" s="439"/>
      <c r="AF34" s="439"/>
      <c r="AG34" s="439"/>
      <c r="AH34" s="439"/>
      <c r="AI34" s="391" t="s">
        <v>553</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428</v>
      </c>
      <c r="T36" s="2240"/>
      <c r="U36" s="2240"/>
      <c r="V36" s="2240"/>
      <c r="W36" s="2240"/>
      <c r="X36" s="2240"/>
      <c r="Y36" s="2240"/>
      <c r="Z36" s="2240"/>
      <c r="AA36" s="2240"/>
      <c r="AB36" s="2240"/>
      <c r="AC36" s="2240"/>
      <c r="AD36" s="2240"/>
      <c r="AE36" s="2240"/>
      <c r="AF36" s="2240"/>
      <c r="AG36" s="2240"/>
      <c r="AH36" s="2240"/>
      <c r="AI36" s="2240"/>
      <c r="AJ36" s="2240"/>
      <c r="AK36" s="2240" t="s">
        <v>429</v>
      </c>
      <c r="AQ36" s="1268">
        <v>14</v>
      </c>
    </row>
    <row customHeight="1" ht="14.699999999999998">
      <c r="Q37" s="489"/>
      <c r="R37" s="489"/>
      <c r="S37" s="2386" t="s">
        <v>88</v>
      </c>
      <c r="T37" s="2322" t="s">
        <v>554</v>
      </c>
      <c r="U37" s="414"/>
      <c r="V37" s="2387" t="s">
        <v>555</v>
      </c>
      <c r="W37" s="2388"/>
      <c r="X37" s="2388"/>
      <c r="Y37" s="2388"/>
      <c r="Z37" s="2388"/>
      <c r="AA37" s="2389"/>
      <c r="AB37" s="2390" t="s">
        <v>556</v>
      </c>
      <c r="AC37" s="2387" t="s">
        <v>555</v>
      </c>
      <c r="AD37" s="2388"/>
      <c r="AE37" s="2388"/>
      <c r="AF37" s="2388"/>
      <c r="AG37" s="2388"/>
      <c r="AH37" s="2389"/>
      <c r="AI37" s="2390" t="s">
        <v>557</v>
      </c>
      <c r="AJ37" s="2393" t="s">
        <v>558</v>
      </c>
      <c r="AK37" s="2240"/>
      <c r="AQ37" s="1268">
        <v>14</v>
      </c>
    </row>
    <row customHeight="1" ht="35.699999999999996">
      <c r="Q38" s="489"/>
      <c r="R38" s="489"/>
      <c r="S38" s="2386"/>
      <c r="T38" s="2322"/>
      <c r="U38" s="1144"/>
      <c r="V38" s="1565" t="s">
        <v>614</v>
      </c>
      <c r="W38" s="2375" t="s">
        <v>561</v>
      </c>
      <c r="X38" s="2376"/>
      <c r="Y38" s="2375" t="s">
        <v>562</v>
      </c>
      <c r="Z38" s="2382"/>
      <c r="AA38" s="2376"/>
      <c r="AB38" s="2391"/>
      <c r="AC38" s="1565" t="s">
        <v>614</v>
      </c>
      <c r="AD38" s="2375" t="s">
        <v>561</v>
      </c>
      <c r="AE38" s="2376"/>
      <c r="AF38" s="2375" t="s">
        <v>562</v>
      </c>
      <c r="AG38" s="2382"/>
      <c r="AH38" s="2376"/>
      <c r="AI38" s="2391"/>
      <c r="AJ38" s="2394"/>
      <c r="AK38" s="2240"/>
      <c r="AQ38" s="1268">
        <v>34</v>
      </c>
    </row>
    <row customHeight="1" ht="35.699999999999996">
      <c r="A39" s="1483"/>
      <c r="B39" s="1483" t="s">
        <v>210</v>
      </c>
      <c r="C39" s="1483" t="s">
        <v>211</v>
      </c>
      <c r="D39" s="1483" t="s">
        <v>212</v>
      </c>
      <c r="E39" s="1477" t="s">
        <v>563</v>
      </c>
      <c r="F39" s="1477" t="s">
        <v>564</v>
      </c>
      <c r="G39" s="1477" t="s">
        <v>565</v>
      </c>
      <c r="H39" s="1477"/>
      <c r="I39" s="1477" t="s">
        <v>615</v>
      </c>
      <c r="J39" s="1477" t="s">
        <v>568</v>
      </c>
      <c r="K39" s="1477" t="s">
        <v>616</v>
      </c>
      <c r="L39" s="1477" t="s">
        <v>544</v>
      </c>
      <c r="Q39" s="489"/>
      <c r="R39" s="489"/>
      <c r="S39" s="2386"/>
      <c r="T39" s="2322"/>
      <c r="U39" s="415"/>
      <c r="V39" s="1565" t="s">
        <v>617</v>
      </c>
      <c r="W39" s="1335" t="s">
        <v>618</v>
      </c>
      <c r="X39" s="1335" t="s">
        <v>619</v>
      </c>
      <c r="Y39" s="1568" t="s">
        <v>572</v>
      </c>
      <c r="Z39" s="2383" t="s">
        <v>573</v>
      </c>
      <c r="AA39" s="2384"/>
      <c r="AB39" s="2392"/>
      <c r="AC39" s="1565" t="s">
        <v>617</v>
      </c>
      <c r="AD39" s="1335" t="s">
        <v>618</v>
      </c>
      <c r="AE39" s="1335" t="s">
        <v>619</v>
      </c>
      <c r="AF39" s="1568" t="s">
        <v>572</v>
      </c>
      <c r="AG39" s="2383" t="s">
        <v>573</v>
      </c>
      <c r="AH39" s="2384"/>
      <c r="AI39" s="2392"/>
      <c r="AJ39" s="2395"/>
      <c r="AK39" s="2240"/>
      <c r="AQ39" s="1268">
        <v>34</v>
      </c>
    </row>
    <row s="8962"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187</v>
      </c>
      <c r="T40" s="1368" t="s">
        <v>104</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359</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198</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359</v>
      </c>
      <c r="B42" s="1476" t="s">
        <v>360</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525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526</v>
      </c>
      <c r="AM42" s="613"/>
      <c r="AN42" s="613" t="str">
        <f>IF(T42="","",T42)</f>
        <v>Территория действия тарифа</v>
      </c>
      <c r="AO42" s="613"/>
      <c r="AP42" s="613"/>
      <c r="AQ42" s="1268">
        <v>23</v>
      </c>
    </row>
    <row customHeight="1" ht="24">
      <c r="A43" s="1476" t="s">
        <v>359</v>
      </c>
      <c r="B43" s="1476" t="s">
        <v>360</v>
      </c>
      <c r="C43" s="1476" t="s">
        <v>361</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606</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607</v>
      </c>
      <c r="AM43" s="613"/>
      <c r="AN43" s="613" t="str">
        <f>IF(T43="","",T43)</f>
        <v>Наименование централизованной системы холодного водоснабжения</v>
      </c>
      <c r="AO43" s="613"/>
      <c r="AP43" s="613"/>
      <c r="AQ43" s="1268">
        <v>23</v>
      </c>
    </row>
    <row customHeight="1" ht="24">
      <c r="A44" s="1476" t="s">
        <v>359</v>
      </c>
      <c r="B44" s="1476" t="s">
        <v>360</v>
      </c>
      <c r="C44" s="1476" t="s">
        <v>361</v>
      </c>
      <c r="D44" s="1476" t="s">
        <v>625</v>
      </c>
      <c r="E44" s="2372"/>
      <c r="F44" s="2372"/>
      <c r="G44" s="2372"/>
      <c r="H44" s="2372"/>
      <c r="I44" s="2369" t="str">
        <f>S43&amp;".1"</f>
        <v>...1</v>
      </c>
      <c r="J44" s="1476"/>
      <c r="K44" s="1476"/>
      <c r="L44" s="1477"/>
      <c r="P44" s="2370">
        <v>1</v>
      </c>
      <c r="Q44" s="1563"/>
      <c r="R44" s="469"/>
      <c r="S44" s="1570" t="str">
        <f>$I44</f>
        <v>...1</v>
      </c>
      <c r="T44" s="398" t="s">
        <v>608</v>
      </c>
      <c r="U44" s="413"/>
      <c r="V44" s="2463"/>
      <c r="W44" s="2464"/>
      <c r="X44" s="2464"/>
      <c r="Y44" s="2464"/>
      <c r="Z44" s="2464"/>
      <c r="AA44" s="2464"/>
      <c r="AB44" s="2465"/>
      <c r="AC44" s="2466"/>
      <c r="AD44" s="2467"/>
      <c r="AE44" s="2467"/>
      <c r="AF44" s="2467"/>
      <c r="AG44" s="2467"/>
      <c r="AH44" s="2467"/>
      <c r="AI44" s="2467"/>
      <c r="AJ44" s="2468"/>
      <c r="AK44" s="1371" t="s">
        <v>609</v>
      </c>
      <c r="AM44" s="613"/>
      <c r="AN44" s="613" t="str">
        <f>IF(T44="","",T44)</f>
        <v>Наименование признака дифференциации</v>
      </c>
      <c r="AO44" s="613"/>
      <c r="AP44" s="613"/>
      <c r="AQ44" s="1268">
        <v>23</v>
      </c>
    </row>
    <row customHeight="1" ht="24">
      <c r="A45" s="1476" t="s">
        <v>359</v>
      </c>
      <c r="B45" s="1476" t="s">
        <v>360</v>
      </c>
      <c r="C45" s="1476" t="s">
        <v>361</v>
      </c>
      <c r="D45" s="1476" t="s">
        <v>625</v>
      </c>
      <c r="E45" s="2372"/>
      <c r="F45" s="2372"/>
      <c r="G45" s="2372"/>
      <c r="H45" s="2372"/>
      <c r="I45" s="2399"/>
      <c r="J45" s="2369" t="str">
        <f>I44&amp;".1"</f>
        <v>...1.1</v>
      </c>
      <c r="K45" s="1476"/>
      <c r="L45" s="1477" t="s">
        <v>534</v>
      </c>
      <c r="P45" s="2370"/>
      <c r="Q45" s="2370">
        <v>1</v>
      </c>
      <c r="R45" s="470"/>
      <c r="S45" s="1570" t="str">
        <f>$J45</f>
        <v>...1.1</v>
      </c>
      <c r="T45" s="399" t="s">
        <v>535</v>
      </c>
      <c r="U45" s="413"/>
      <c r="V45" s="2358"/>
      <c r="W45" s="2359"/>
      <c r="X45" s="2359"/>
      <c r="Y45" s="2359"/>
      <c r="Z45" s="2359"/>
      <c r="AA45" s="2359"/>
      <c r="AB45" s="2360"/>
      <c r="AC45" s="2358"/>
      <c r="AD45" s="2359"/>
      <c r="AE45" s="2359"/>
      <c r="AF45" s="2359"/>
      <c r="AG45" s="2359"/>
      <c r="AH45" s="2359"/>
      <c r="AI45" s="2359"/>
      <c r="AJ45" s="2360"/>
      <c r="AK45" s="1420" t="s">
        <v>610</v>
      </c>
      <c r="AM45" s="613"/>
      <c r="AN45" s="613" t="str">
        <f>IF(T45="","",T45)</f>
        <v>Группа потребителей</v>
      </c>
      <c r="AO45" s="613"/>
      <c r="AP45" s="613"/>
      <c r="AQ45" s="1268">
        <v>23</v>
      </c>
    </row>
    <row customHeight="1" ht="24">
      <c r="A46" s="1476" t="s">
        <v>359</v>
      </c>
      <c r="B46" s="1476" t="s">
        <v>360</v>
      </c>
      <c r="C46" s="1476" t="s">
        <v>361</v>
      </c>
      <c r="D46" s="1476" t="s">
        <v>625</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359</v>
      </c>
      <c r="B47" s="1476" t="s">
        <v>360</v>
      </c>
      <c r="C47" s="1476" t="s">
        <v>361</v>
      </c>
      <c r="D47" s="1476" t="s">
        <v>625</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359</v>
      </c>
      <c r="B48" s="1476" t="s">
        <v>360</v>
      </c>
      <c r="C48" s="1476" t="s">
        <v>361</v>
      </c>
      <c r="D48" s="1476" t="s">
        <v>625</v>
      </c>
      <c r="E48" s="2372"/>
      <c r="F48" s="2372"/>
      <c r="G48" s="2372"/>
      <c r="H48" s="2372"/>
      <c r="I48" s="2399"/>
      <c r="J48" s="2369"/>
      <c r="K48" s="1476"/>
      <c r="L48" s="1477"/>
      <c r="P48" s="2370"/>
      <c r="Q48" s="2370"/>
      <c r="R48" s="469"/>
      <c r="S48" s="1391"/>
      <c r="T48" s="400" t="s">
        <v>611</v>
      </c>
      <c r="U48" s="480"/>
      <c r="V48" s="480"/>
      <c r="W48" s="480"/>
      <c r="X48" s="480"/>
      <c r="Y48" s="480"/>
      <c r="Z48" s="480"/>
      <c r="AA48" s="480"/>
      <c r="AB48" s="480"/>
      <c r="AC48" s="480"/>
      <c r="AD48" s="480"/>
      <c r="AE48" s="480"/>
      <c r="AF48" s="480"/>
      <c r="AG48" s="480"/>
      <c r="AH48" s="480"/>
      <c r="AI48" s="480"/>
      <c r="AJ48" s="480"/>
      <c r="AK48" s="1371" t="s">
        <v>612</v>
      </c>
      <c r="AM48" s="613"/>
      <c r="AN48" s="613" t="str">
        <f>IF(T48="","",T48)</f>
        <v>Добавить значение признака дифференциации</v>
      </c>
      <c r="AO48" s="613"/>
      <c r="AP48" s="613"/>
      <c r="AQ48" s="1268">
        <v>20</v>
      </c>
    </row>
    <row customHeight="1" ht="22.049999999999997">
      <c r="A49" s="1476" t="s">
        <v>359</v>
      </c>
      <c r="B49" s="1476" t="s">
        <v>360</v>
      </c>
      <c r="C49" s="1476" t="s">
        <v>361</v>
      </c>
      <c r="D49" s="1476" t="s">
        <v>625</v>
      </c>
      <c r="E49" s="2372"/>
      <c r="F49" s="2372"/>
      <c r="G49" s="2372"/>
      <c r="H49" s="2372"/>
      <c r="I49" s="2369"/>
      <c r="J49" s="1476"/>
      <c r="K49" s="1476"/>
      <c r="L49" s="1477"/>
      <c r="P49" s="2370"/>
      <c r="Q49" s="1563"/>
      <c r="R49" s="469"/>
      <c r="S49" s="1391"/>
      <c r="T49" s="478" t="s">
        <v>540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359</v>
      </c>
      <c r="B50" s="1476" t="s">
        <v>360</v>
      </c>
      <c r="C50" s="1476" t="s">
        <v>361</v>
      </c>
      <c r="D50" s="1476" t="s">
        <v>625</v>
      </c>
      <c r="E50" s="2372"/>
      <c r="F50" s="2372"/>
      <c r="G50" s="2372"/>
      <c r="H50" s="2371"/>
      <c r="I50" s="1476"/>
      <c r="J50" s="1476"/>
      <c r="K50" s="1476"/>
      <c r="L50" s="1477"/>
      <c r="M50" s="1478"/>
      <c r="N50" s="1478"/>
      <c r="O50" s="650"/>
      <c r="P50" s="473"/>
      <c r="Q50" s="488"/>
      <c r="R50" s="468"/>
      <c r="S50" s="1391"/>
      <c r="T50" s="485" t="s">
        <v>613</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8355" customFormat="1" customHeight="1" ht="0">
      <c r="A51" s="1456" t="s">
        <v>359</v>
      </c>
      <c r="B51" s="1456" t="s">
        <v>360</v>
      </c>
      <c r="C51" s="1427"/>
      <c r="D51" s="1427"/>
      <c r="E51" s="2372"/>
      <c r="F51" s="2371"/>
      <c r="G51" s="1427"/>
      <c r="H51" s="1427"/>
      <c r="I51" s="1427"/>
      <c r="J51" s="1427"/>
      <c r="K51" s="1427"/>
      <c r="L51" s="1571"/>
      <c r="M51" s="1434"/>
      <c r="N51" s="1434"/>
      <c r="P51" s="1429"/>
      <c r="Q51" s="1430"/>
      <c r="R51" s="1429"/>
      <c r="S51" s="1435"/>
      <c r="T51" s="1438" t="s">
        <v>298</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8355" customFormat="1" customHeight="1" ht="0">
      <c r="A52" s="1456" t="s">
        <v>359</v>
      </c>
      <c r="B52" s="1456"/>
      <c r="C52" s="1456"/>
      <c r="D52" s="1456"/>
      <c r="E52" s="2371"/>
      <c r="F52" s="1456"/>
      <c r="G52" s="1456"/>
      <c r="H52" s="1456"/>
      <c r="I52" s="1456"/>
      <c r="J52" s="1456"/>
      <c r="K52" s="1456"/>
      <c r="L52" s="1459"/>
      <c r="M52" s="1434"/>
      <c r="N52" s="1434"/>
      <c r="O52" s="631"/>
      <c r="P52" s="493"/>
      <c r="Q52" s="1457"/>
      <c r="R52" s="493"/>
      <c r="S52" s="1435"/>
      <c r="T52" s="1438" t="s">
        <v>355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8355"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356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3876DD-8F38-4E1E-6EB9-7081D45F525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354" width="10.57421875" hidden="1"/>
    <col min="2" max="2" style="8354" width="11.00390625" hidden="1" customWidth="1"/>
    <col min="3" max="3" style="8354" width="10.57421875" hidden="1"/>
    <col min="4" max="4" style="8354" width="11.8515625" hidden="1" customWidth="1"/>
    <col min="5" max="5" style="8354" width="10.00390625" hidden="1" customWidth="1"/>
    <col min="6" max="6" style="8354" width="8.7109375" hidden="1" customWidth="1"/>
    <col min="7" max="7" style="8354" width="7.57421875" hidden="1" customWidth="1"/>
    <col min="8" max="8" style="8354" width="11.421875" hidden="1" customWidth="1"/>
    <col min="9" max="9" style="8354" width="14.140625" hidden="1" customWidth="1"/>
    <col min="10" max="10" style="8354" width="9.8515625" hidden="1" customWidth="1"/>
    <col min="11" max="11" style="8354" width="14.7109375" hidden="1" customWidth="1"/>
    <col min="12" max="12" style="9204" width="19.140625" hidden="1" customWidth="1"/>
    <col min="13" max="14" style="9205" width="12.28125" hidden="1" customWidth="1"/>
    <col min="15" max="15" style="9205" width="23.421875" hidden="1" customWidth="1"/>
    <col min="16" max="16" style="9206" width="3.00390625" customWidth="1"/>
    <col min="17" max="18" style="9207" width="3.00390625" customWidth="1"/>
    <col min="19" max="19" style="9208" width="12.00390625" customWidth="1"/>
    <col min="20" max="20" style="8273" width="35.00390625" customWidth="1"/>
    <col min="21" max="21" style="8273" width="0.140625" customWidth="1"/>
    <col min="22" max="24" style="8273" width="24.7109375" hidden="1" customWidth="1"/>
    <col min="25" max="25" style="8273" width="11.7109375" hidden="1" customWidth="1"/>
    <col min="26" max="26" style="8273" width="3.7109375" hidden="1" customWidth="1"/>
    <col min="27" max="27" style="8273" width="11.7109375" hidden="1" customWidth="1"/>
    <col min="28" max="28" style="8273" width="8.57421875" hidden="1" customWidth="1"/>
    <col min="29" max="29" style="8273" width="24.7109375" customWidth="1"/>
    <col min="30" max="31" style="8273" width="24.00390625" customWidth="1"/>
    <col min="32" max="32" style="8273" width="11.00390625" customWidth="1"/>
    <col min="33" max="33" style="8273" width="3.7109375" customWidth="1"/>
    <col min="34" max="34" style="8273" width="11.00390625" customWidth="1"/>
    <col min="35" max="35" style="8273" width="8.57421875" hidden="1" customWidth="1"/>
    <col min="36" max="36" style="8273" width="4.00390625" customWidth="1"/>
    <col min="37" max="37" style="8273" width="115.00390625" customWidth="1"/>
    <col min="38" max="42" style="8355" width="10.00390625" customWidth="1"/>
    <col min="43" max="43" style="827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198</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525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526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606</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607</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608</v>
      </c>
      <c r="U5" s="413"/>
      <c r="V5" s="2463"/>
      <c r="W5" s="2464"/>
      <c r="X5" s="2464"/>
      <c r="Y5" s="2464"/>
      <c r="Z5" s="2464"/>
      <c r="AA5" s="2464"/>
      <c r="AB5" s="2465"/>
      <c r="AC5" s="2466"/>
      <c r="AD5" s="2467"/>
      <c r="AE5" s="2467"/>
      <c r="AF5" s="2467"/>
      <c r="AG5" s="2467"/>
      <c r="AH5" s="2467"/>
      <c r="AI5" s="2467"/>
      <c r="AJ5" s="2468"/>
      <c r="AK5" s="1371" t="s">
        <v>609</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534</v>
      </c>
      <c r="P6" s="2370"/>
      <c r="Q6" s="2370">
        <v>1</v>
      </c>
      <c r="R6" s="470"/>
      <c r="S6" s="1570">
        <f>$J6</f>
      </c>
      <c r="T6" s="399" t="s">
        <v>535</v>
      </c>
      <c r="U6" s="413"/>
      <c r="V6" s="2358"/>
      <c r="W6" s="2359"/>
      <c r="X6" s="2359"/>
      <c r="Y6" s="2359"/>
      <c r="Z6" s="2359"/>
      <c r="AA6" s="2359"/>
      <c r="AB6" s="2360"/>
      <c r="AC6" s="2358"/>
      <c r="AD6" s="2359"/>
      <c r="AE6" s="2359"/>
      <c r="AF6" s="2359"/>
      <c r="AG6" s="2359"/>
      <c r="AH6" s="2359"/>
      <c r="AI6" s="2359"/>
      <c r="AJ6" s="2360"/>
      <c r="AK6" s="1420" t="s">
        <v>610</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611</v>
      </c>
      <c r="U9" s="480"/>
      <c r="V9" s="480"/>
      <c r="W9" s="480"/>
      <c r="X9" s="480"/>
      <c r="Y9" s="480"/>
      <c r="Z9" s="480"/>
      <c r="AA9" s="480"/>
      <c r="AB9" s="480"/>
      <c r="AC9" s="480"/>
      <c r="AD9" s="480"/>
      <c r="AE9" s="480"/>
      <c r="AF9" s="480"/>
      <c r="AG9" s="480"/>
      <c r="AH9" s="480"/>
      <c r="AI9" s="480"/>
      <c r="AJ9" s="480"/>
      <c r="AK9" s="1371" t="s">
        <v>612</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540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613</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8355"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298</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835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355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8354" customFormat="1" customHeight="1" ht="22.5" hidden="1">
      <c r="L18" s="1560"/>
      <c r="M18" s="1475"/>
      <c r="N18" s="1475"/>
      <c r="O18" s="1480" t="s">
        <v>543</v>
      </c>
      <c r="P18" s="1475"/>
      <c r="Q18" s="1484"/>
      <c r="R18" s="1484"/>
      <c r="S18" s="842"/>
      <c r="Y18" s="1480"/>
      <c r="AA18" s="1480"/>
      <c r="AB18" s="1479"/>
      <c r="AF18" s="1480"/>
      <c r="AH18" s="1480"/>
      <c r="AI18" s="1479"/>
      <c r="AL18" s="624"/>
      <c r="AM18" s="624"/>
      <c r="AN18" s="624"/>
      <c r="AO18" s="624"/>
      <c r="AP18" s="624"/>
      <c r="AQ18" s="1273">
        <v>0</v>
      </c>
    </row>
    <row s="8354" customFormat="1" customHeight="1" ht="14.25" hidden="1">
      <c r="L19" s="1560"/>
      <c r="M19" s="1475"/>
      <c r="N19" s="1475"/>
      <c r="O19" s="1475"/>
      <c r="P19" s="1475"/>
      <c r="Q19" s="1484"/>
      <c r="R19" s="1484"/>
      <c r="S19" s="842"/>
      <c r="AB19" s="1479"/>
      <c r="AI19" s="1479"/>
      <c r="AL19" s="624"/>
      <c r="AM19" s="624"/>
      <c r="AN19" s="624"/>
      <c r="AO19" s="624"/>
      <c r="AP19" s="624"/>
      <c r="AQ19" s="1273">
        <v>0</v>
      </c>
    </row>
    <row s="8354" customFormat="1" customHeight="1" ht="12" hidden="1">
      <c r="L20" s="1560"/>
      <c r="M20" s="1475"/>
      <c r="N20" s="1475"/>
      <c r="O20" s="1477" t="s">
        <v>544</v>
      </c>
      <c r="P20" s="1475"/>
      <c r="Q20" s="1555"/>
      <c r="R20" s="1555"/>
      <c r="S20" s="842"/>
      <c r="T20" s="1273" t="s">
        <v>545</v>
      </c>
      <c r="Z20" s="299" t="s">
        <v>546</v>
      </c>
      <c r="AB20" s="299" t="s">
        <v>547</v>
      </c>
      <c r="AC20" s="1273" t="s">
        <v>545</v>
      </c>
      <c r="AG20" s="299" t="s">
        <v>548</v>
      </c>
      <c r="AI20" s="299" t="s">
        <v>547</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МУП ЖКХ "Родник"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8491"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8491" customFormat="1" customHeight="1" ht="18.75" hidden="1">
      <c r="A28" s="1481"/>
      <c r="B28" s="1481"/>
      <c r="C28" s="1481"/>
      <c r="D28" s="1481"/>
      <c r="E28" s="1481"/>
      <c r="F28" s="1481"/>
      <c r="G28" s="1481"/>
      <c r="H28" s="1481"/>
      <c r="I28" s="1481"/>
      <c r="J28" s="1481"/>
      <c r="K28" s="1481"/>
      <c r="L28" s="1482"/>
      <c r="M28" s="1481"/>
      <c r="N28" s="1481"/>
      <c r="O28" s="1481"/>
      <c r="S28" s="2363" t="s">
        <v>549</v>
      </c>
      <c r="T28" s="2363"/>
      <c r="U28" s="1485"/>
      <c r="V28" s="2377" t="str">
        <f>IF(TITLE_DATE_PR_CHANGE="",IF(TITLE_DATE_PR="","",TITLE_DATE_PR),TITLE_DATE_PR_CHANGE)</f>
        <v>45586</v>
      </c>
      <c r="W28" s="2377"/>
      <c r="X28" s="2377"/>
      <c r="Y28" s="2377"/>
      <c r="Z28" s="2377"/>
      <c r="AA28" s="2377"/>
      <c r="AB28" s="439"/>
      <c r="AC28" s="2377" t="str">
        <f>IF(TITLE_DATE_PR_CHANGE="",IF(TITLE_DATE_PR="","",TITLE_DATE_PR),TITLE_DATE_PR_CHANGE)</f>
        <v>45586</v>
      </c>
      <c r="AD28" s="2377"/>
      <c r="AE28" s="2377"/>
      <c r="AF28" s="2377"/>
      <c r="AG28" s="2377"/>
      <c r="AH28" s="2377"/>
      <c r="AI28" s="439"/>
      <c r="AJ28" s="439"/>
      <c r="AK28" s="393"/>
      <c r="AL28" s="481"/>
      <c r="AM28" s="481"/>
      <c r="AN28" s="481"/>
      <c r="AO28" s="481"/>
      <c r="AP28" s="481"/>
      <c r="AQ28" s="531">
        <v>0</v>
      </c>
    </row>
    <row s="8491" customFormat="1" customHeight="1" ht="18.75" hidden="1">
      <c r="A29" s="1481"/>
      <c r="B29" s="1481"/>
      <c r="C29" s="1481"/>
      <c r="D29" s="1481"/>
      <c r="E29" s="1481"/>
      <c r="F29" s="1481"/>
      <c r="G29" s="1481"/>
      <c r="H29" s="1481"/>
      <c r="I29" s="1481"/>
      <c r="J29" s="1481"/>
      <c r="K29" s="1481"/>
      <c r="L29" s="1482"/>
      <c r="M29" s="1481"/>
      <c r="N29" s="1481"/>
      <c r="O29" s="1481"/>
      <c r="S29" s="2363" t="s">
        <v>550</v>
      </c>
      <c r="T29" s="2363"/>
      <c r="U29" s="1485"/>
      <c r="V29" s="2364" t="str">
        <f>IF(TITLE_NUMBER_PR_CHANGE="",IF(TITLE_NUMBER_PR="","",TITLE_NUMBER_PR),TITLE_NUMBER_PR_CHANGE)</f>
        <v>1577</v>
      </c>
      <c r="W29" s="2364"/>
      <c r="X29" s="2364"/>
      <c r="Y29" s="2364"/>
      <c r="Z29" s="2364"/>
      <c r="AA29" s="2364"/>
      <c r="AB29" s="439"/>
      <c r="AC29" s="2364" t="str">
        <f>IF(TITLE_NUMBER_PR_CHANGE="",IF(TITLE_NUMBER_PR="","",TITLE_NUMBER_PR),TITLE_NUMBER_PR_CHANGE)</f>
        <v>1577</v>
      </c>
      <c r="AD29" s="2364"/>
      <c r="AE29" s="2364"/>
      <c r="AF29" s="2364"/>
      <c r="AG29" s="2364"/>
      <c r="AH29" s="2364"/>
      <c r="AI29" s="439"/>
      <c r="AJ29" s="439"/>
      <c r="AK29" s="393"/>
      <c r="AL29" s="481"/>
      <c r="AM29" s="481"/>
      <c r="AN29" s="481"/>
      <c r="AO29" s="481"/>
      <c r="AP29" s="481"/>
      <c r="AQ29" s="531">
        <v>0</v>
      </c>
    </row>
    <row s="8491"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8491" customFormat="1" customHeight="1" ht="18.75">
      <c r="A32" s="1481"/>
      <c r="B32" s="1481"/>
      <c r="C32" s="1481"/>
      <c r="D32" s="1481"/>
      <c r="E32" s="1481"/>
      <c r="F32" s="1481"/>
      <c r="G32" s="1481"/>
      <c r="H32" s="1481"/>
      <c r="I32" s="1481"/>
      <c r="J32" s="1481"/>
      <c r="K32" s="1481"/>
      <c r="L32" s="1482"/>
      <c r="M32" s="1481"/>
      <c r="N32" s="1481"/>
      <c r="O32" s="1481"/>
      <c r="S32" s="2363" t="s">
        <v>551</v>
      </c>
      <c r="T32" s="2363"/>
      <c r="U32" s="1485"/>
      <c r="V32" s="2377" t="str">
        <f>IF(TITLE_DATE_PR_CHANGE="",IF(TITLE_DATE_PR="","",TITLE_DATE_PR),TITLE_DATE_PR_CHANGE)</f>
        <v>45586</v>
      </c>
      <c r="W32" s="2377"/>
      <c r="X32" s="2377"/>
      <c r="Y32" s="2377"/>
      <c r="Z32" s="2377"/>
      <c r="AA32" s="2377"/>
      <c r="AB32" s="439"/>
      <c r="AC32" s="2377" t="str">
        <f>IF(TITLE_DATE_PR_CHANGE="",IF(TITLE_DATE_PR="","",TITLE_DATE_PR),TITLE_DATE_PR_CHANGE)</f>
        <v>45586</v>
      </c>
      <c r="AD32" s="2377"/>
      <c r="AE32" s="2377"/>
      <c r="AF32" s="2377"/>
      <c r="AG32" s="2377"/>
      <c r="AH32" s="2377"/>
      <c r="AI32" s="439"/>
      <c r="AJ32" s="439"/>
      <c r="AK32" s="393"/>
      <c r="AL32" s="481"/>
      <c r="AM32" s="481"/>
      <c r="AN32" s="481"/>
      <c r="AO32" s="481"/>
      <c r="AP32" s="481"/>
      <c r="AQ32" s="531">
        <v>0</v>
      </c>
    </row>
    <row s="8491" customFormat="1" customHeight="1" ht="18.75">
      <c r="A33" s="1481"/>
      <c r="B33" s="1481"/>
      <c r="C33" s="1481"/>
      <c r="D33" s="1481"/>
      <c r="E33" s="1481"/>
      <c r="F33" s="1481"/>
      <c r="G33" s="1481"/>
      <c r="H33" s="1481"/>
      <c r="I33" s="1481"/>
      <c r="J33" s="1481"/>
      <c r="K33" s="1481"/>
      <c r="L33" s="1482"/>
      <c r="M33" s="1481"/>
      <c r="N33" s="1481"/>
      <c r="O33" s="1481"/>
      <c r="S33" s="2363" t="s">
        <v>552</v>
      </c>
      <c r="T33" s="2363"/>
      <c r="U33" s="1485"/>
      <c r="V33" s="2364" t="str">
        <f>IF(TITLE_NUMBER_PR_CHANGE="",IF(TITLE_NUMBER_PR="","",TITLE_NUMBER_PR),TITLE_NUMBER_PR_CHANGE)</f>
        <v>1577</v>
      </c>
      <c r="W33" s="2364"/>
      <c r="X33" s="2364"/>
      <c r="Y33" s="2364"/>
      <c r="Z33" s="2364"/>
      <c r="AA33" s="2364"/>
      <c r="AB33" s="439"/>
      <c r="AC33" s="2364" t="str">
        <f>IF(TITLE_NUMBER_PR_CHANGE="",IF(TITLE_NUMBER_PR="","",TITLE_NUMBER_PR),TITLE_NUMBER_PR_CHANGE)</f>
        <v>1577</v>
      </c>
      <c r="AD33" s="2364"/>
      <c r="AE33" s="2364"/>
      <c r="AF33" s="2364"/>
      <c r="AG33" s="2364"/>
      <c r="AH33" s="2364"/>
      <c r="AI33" s="439"/>
      <c r="AJ33" s="439"/>
      <c r="AK33" s="393"/>
      <c r="AL33" s="481"/>
      <c r="AM33" s="481"/>
      <c r="AN33" s="481"/>
      <c r="AO33" s="481"/>
      <c r="AP33" s="481"/>
      <c r="AQ33" s="531">
        <v>0</v>
      </c>
    </row>
    <row s="8491"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553</v>
      </c>
      <c r="AC34" s="439"/>
      <c r="AD34" s="439"/>
      <c r="AE34" s="439"/>
      <c r="AF34" s="439"/>
      <c r="AG34" s="439"/>
      <c r="AH34" s="439"/>
      <c r="AI34" s="391" t="s">
        <v>553</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428</v>
      </c>
      <c r="T36" s="2240"/>
      <c r="U36" s="2240"/>
      <c r="V36" s="2240"/>
      <c r="W36" s="2240"/>
      <c r="X36" s="2240"/>
      <c r="Y36" s="2240"/>
      <c r="Z36" s="2240"/>
      <c r="AA36" s="2240"/>
      <c r="AB36" s="2240"/>
      <c r="AC36" s="2240"/>
      <c r="AD36" s="2240"/>
      <c r="AE36" s="2240"/>
      <c r="AF36" s="2240"/>
      <c r="AG36" s="2240"/>
      <c r="AH36" s="2240"/>
      <c r="AI36" s="2240"/>
      <c r="AJ36" s="2240"/>
      <c r="AK36" s="2240" t="s">
        <v>429</v>
      </c>
      <c r="AQ36" s="1268">
        <v>14</v>
      </c>
    </row>
    <row customHeight="1" ht="14.699999999999998">
      <c r="Q37" s="489"/>
      <c r="R37" s="489"/>
      <c r="S37" s="2386" t="s">
        <v>88</v>
      </c>
      <c r="T37" s="2322" t="s">
        <v>554</v>
      </c>
      <c r="U37" s="414"/>
      <c r="V37" s="2387" t="s">
        <v>555</v>
      </c>
      <c r="W37" s="2388"/>
      <c r="X37" s="2388"/>
      <c r="Y37" s="2388"/>
      <c r="Z37" s="2388"/>
      <c r="AA37" s="2389"/>
      <c r="AB37" s="2390" t="s">
        <v>556</v>
      </c>
      <c r="AC37" s="2387" t="s">
        <v>555</v>
      </c>
      <c r="AD37" s="2388"/>
      <c r="AE37" s="2388"/>
      <c r="AF37" s="2388"/>
      <c r="AG37" s="2388"/>
      <c r="AH37" s="2389"/>
      <c r="AI37" s="2390" t="s">
        <v>557</v>
      </c>
      <c r="AJ37" s="2393" t="s">
        <v>558</v>
      </c>
      <c r="AK37" s="2240"/>
      <c r="AQ37" s="1268">
        <v>14</v>
      </c>
    </row>
    <row customHeight="1" ht="35.699999999999996">
      <c r="Q38" s="489"/>
      <c r="R38" s="489"/>
      <c r="S38" s="2386"/>
      <c r="T38" s="2322"/>
      <c r="U38" s="1144"/>
      <c r="V38" s="1565" t="s">
        <v>614</v>
      </c>
      <c r="W38" s="2375" t="s">
        <v>561</v>
      </c>
      <c r="X38" s="2376"/>
      <c r="Y38" s="2375" t="s">
        <v>562</v>
      </c>
      <c r="Z38" s="2382"/>
      <c r="AA38" s="2376"/>
      <c r="AB38" s="2391"/>
      <c r="AC38" s="1565" t="s">
        <v>614</v>
      </c>
      <c r="AD38" s="2375" t="s">
        <v>561</v>
      </c>
      <c r="AE38" s="2376"/>
      <c r="AF38" s="2375" t="s">
        <v>562</v>
      </c>
      <c r="AG38" s="2382"/>
      <c r="AH38" s="2376"/>
      <c r="AI38" s="2391"/>
      <c r="AJ38" s="2394"/>
      <c r="AK38" s="2240"/>
      <c r="AQ38" s="1268">
        <v>34</v>
      </c>
    </row>
    <row customHeight="1" ht="35.699999999999996">
      <c r="A39" s="1483"/>
      <c r="B39" s="1483" t="s">
        <v>210</v>
      </c>
      <c r="C39" s="1483" t="s">
        <v>211</v>
      </c>
      <c r="D39" s="1483" t="s">
        <v>212</v>
      </c>
      <c r="E39" s="1477" t="s">
        <v>563</v>
      </c>
      <c r="F39" s="1477" t="s">
        <v>564</v>
      </c>
      <c r="G39" s="1477" t="s">
        <v>565</v>
      </c>
      <c r="H39" s="1477"/>
      <c r="I39" s="1477" t="s">
        <v>615</v>
      </c>
      <c r="J39" s="1477" t="s">
        <v>568</v>
      </c>
      <c r="K39" s="1477" t="s">
        <v>616</v>
      </c>
      <c r="L39" s="1477" t="s">
        <v>544</v>
      </c>
      <c r="Q39" s="489"/>
      <c r="R39" s="489"/>
      <c r="S39" s="2386"/>
      <c r="T39" s="2322"/>
      <c r="U39" s="415"/>
      <c r="V39" s="1565" t="s">
        <v>617</v>
      </c>
      <c r="W39" s="1335" t="s">
        <v>618</v>
      </c>
      <c r="X39" s="1335" t="s">
        <v>619</v>
      </c>
      <c r="Y39" s="1568" t="s">
        <v>572</v>
      </c>
      <c r="Z39" s="2383" t="s">
        <v>573</v>
      </c>
      <c r="AA39" s="2384"/>
      <c r="AB39" s="2392"/>
      <c r="AC39" s="1565" t="s">
        <v>617</v>
      </c>
      <c r="AD39" s="1335" t="s">
        <v>618</v>
      </c>
      <c r="AE39" s="1335" t="s">
        <v>619</v>
      </c>
      <c r="AF39" s="1568" t="s">
        <v>572</v>
      </c>
      <c r="AG39" s="2383" t="s">
        <v>573</v>
      </c>
      <c r="AH39" s="2384"/>
      <c r="AI39" s="2392"/>
      <c r="AJ39" s="2395"/>
      <c r="AK39" s="2240"/>
      <c r="AQ39" s="1268">
        <v>34</v>
      </c>
    </row>
    <row s="8962"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187</v>
      </c>
      <c r="T40" s="1368" t="s">
        <v>104</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364</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198</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364</v>
      </c>
      <c r="B42" s="1476" t="s">
        <v>365</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525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526</v>
      </c>
      <c r="AM42" s="613"/>
      <c r="AN42" s="613" t="str">
        <f>IF(T42="","",T42)</f>
        <v>Территория действия тарифа</v>
      </c>
      <c r="AO42" s="613"/>
      <c r="AP42" s="613"/>
      <c r="AQ42" s="1268">
        <v>23</v>
      </c>
    </row>
    <row customHeight="1" ht="24">
      <c r="A43" s="1476" t="s">
        <v>364</v>
      </c>
      <c r="B43" s="1476" t="s">
        <v>365</v>
      </c>
      <c r="C43" s="1476" t="s">
        <v>366</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606</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607</v>
      </c>
      <c r="AM43" s="613"/>
      <c r="AN43" s="613" t="str">
        <f>IF(T43="","",T43)</f>
        <v>Наименование централизованной системы холодного водоснабжения</v>
      </c>
      <c r="AO43" s="613"/>
      <c r="AP43" s="613"/>
      <c r="AQ43" s="1268">
        <v>23</v>
      </c>
    </row>
    <row customHeight="1" ht="24">
      <c r="A44" s="1476" t="s">
        <v>364</v>
      </c>
      <c r="B44" s="1476" t="s">
        <v>365</v>
      </c>
      <c r="C44" s="1476" t="s">
        <v>366</v>
      </c>
      <c r="D44" s="1476" t="s">
        <v>626</v>
      </c>
      <c r="E44" s="2372"/>
      <c r="F44" s="2372"/>
      <c r="G44" s="2372"/>
      <c r="H44" s="2372"/>
      <c r="I44" s="2369" t="str">
        <f>S43&amp;".1"</f>
        <v>...1</v>
      </c>
      <c r="J44" s="1476"/>
      <c r="K44" s="1476"/>
      <c r="L44" s="1477"/>
      <c r="P44" s="2370">
        <v>1</v>
      </c>
      <c r="Q44" s="1563"/>
      <c r="R44" s="469"/>
      <c r="S44" s="1570" t="str">
        <f>$I44</f>
        <v>...1</v>
      </c>
      <c r="T44" s="398" t="s">
        <v>608</v>
      </c>
      <c r="U44" s="413"/>
      <c r="V44" s="2463"/>
      <c r="W44" s="2464"/>
      <c r="X44" s="2464"/>
      <c r="Y44" s="2464"/>
      <c r="Z44" s="2464"/>
      <c r="AA44" s="2464"/>
      <c r="AB44" s="2465"/>
      <c r="AC44" s="2466"/>
      <c r="AD44" s="2467"/>
      <c r="AE44" s="2467"/>
      <c r="AF44" s="2467"/>
      <c r="AG44" s="2467"/>
      <c r="AH44" s="2467"/>
      <c r="AI44" s="2467"/>
      <c r="AJ44" s="2468"/>
      <c r="AK44" s="1371" t="s">
        <v>609</v>
      </c>
      <c r="AM44" s="613"/>
      <c r="AN44" s="613" t="str">
        <f>IF(T44="","",T44)</f>
        <v>Наименование признака дифференциации</v>
      </c>
      <c r="AO44" s="613"/>
      <c r="AP44" s="613"/>
      <c r="AQ44" s="1268">
        <v>23</v>
      </c>
    </row>
    <row customHeight="1" ht="24">
      <c r="A45" s="1476" t="s">
        <v>364</v>
      </c>
      <c r="B45" s="1476" t="s">
        <v>365</v>
      </c>
      <c r="C45" s="1476" t="s">
        <v>366</v>
      </c>
      <c r="D45" s="1476" t="s">
        <v>626</v>
      </c>
      <c r="E45" s="2372"/>
      <c r="F45" s="2372"/>
      <c r="G45" s="2372"/>
      <c r="H45" s="2372"/>
      <c r="I45" s="2399"/>
      <c r="J45" s="2369" t="str">
        <f>I44&amp;".1"</f>
        <v>...1.1</v>
      </c>
      <c r="K45" s="1476"/>
      <c r="L45" s="1477" t="s">
        <v>534</v>
      </c>
      <c r="P45" s="2370"/>
      <c r="Q45" s="2370">
        <v>1</v>
      </c>
      <c r="R45" s="470"/>
      <c r="S45" s="1570" t="str">
        <f>$J45</f>
        <v>...1.1</v>
      </c>
      <c r="T45" s="399" t="s">
        <v>535</v>
      </c>
      <c r="U45" s="413"/>
      <c r="V45" s="2358"/>
      <c r="W45" s="2359"/>
      <c r="X45" s="2359"/>
      <c r="Y45" s="2359"/>
      <c r="Z45" s="2359"/>
      <c r="AA45" s="2359"/>
      <c r="AB45" s="2360"/>
      <c r="AC45" s="2358"/>
      <c r="AD45" s="2359"/>
      <c r="AE45" s="2359"/>
      <c r="AF45" s="2359"/>
      <c r="AG45" s="2359"/>
      <c r="AH45" s="2359"/>
      <c r="AI45" s="2359"/>
      <c r="AJ45" s="2360"/>
      <c r="AK45" s="1420" t="s">
        <v>610</v>
      </c>
      <c r="AM45" s="613"/>
      <c r="AN45" s="613" t="str">
        <f>IF(T45="","",T45)</f>
        <v>Группа потребителей</v>
      </c>
      <c r="AO45" s="613"/>
      <c r="AP45" s="613"/>
      <c r="AQ45" s="1268">
        <v>23</v>
      </c>
    </row>
    <row customHeight="1" ht="24">
      <c r="A46" s="1476" t="s">
        <v>364</v>
      </c>
      <c r="B46" s="1476" t="s">
        <v>365</v>
      </c>
      <c r="C46" s="1476" t="s">
        <v>366</v>
      </c>
      <c r="D46" s="1476" t="s">
        <v>626</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364</v>
      </c>
      <c r="B47" s="1476" t="s">
        <v>365</v>
      </c>
      <c r="C47" s="1476" t="s">
        <v>366</v>
      </c>
      <c r="D47" s="1476" t="s">
        <v>626</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364</v>
      </c>
      <c r="B48" s="1476" t="s">
        <v>365</v>
      </c>
      <c r="C48" s="1476" t="s">
        <v>366</v>
      </c>
      <c r="D48" s="1476" t="s">
        <v>626</v>
      </c>
      <c r="E48" s="2372"/>
      <c r="F48" s="2372"/>
      <c r="G48" s="2372"/>
      <c r="H48" s="2372"/>
      <c r="I48" s="2399"/>
      <c r="J48" s="2369"/>
      <c r="K48" s="1476"/>
      <c r="L48" s="1477"/>
      <c r="P48" s="2370"/>
      <c r="Q48" s="2370"/>
      <c r="R48" s="469"/>
      <c r="S48" s="1391"/>
      <c r="T48" s="400" t="s">
        <v>611</v>
      </c>
      <c r="U48" s="480"/>
      <c r="V48" s="480"/>
      <c r="W48" s="480"/>
      <c r="X48" s="480"/>
      <c r="Y48" s="480"/>
      <c r="Z48" s="480"/>
      <c r="AA48" s="480"/>
      <c r="AB48" s="480"/>
      <c r="AC48" s="480"/>
      <c r="AD48" s="480"/>
      <c r="AE48" s="480"/>
      <c r="AF48" s="480"/>
      <c r="AG48" s="480"/>
      <c r="AH48" s="480"/>
      <c r="AI48" s="480"/>
      <c r="AJ48" s="480"/>
      <c r="AK48" s="1371" t="s">
        <v>612</v>
      </c>
      <c r="AM48" s="613"/>
      <c r="AN48" s="613" t="str">
        <f>IF(T48="","",T48)</f>
        <v>Добавить значение признака дифференциации</v>
      </c>
      <c r="AO48" s="613"/>
      <c r="AP48" s="613"/>
      <c r="AQ48" s="1268">
        <v>20</v>
      </c>
    </row>
    <row customHeight="1" ht="22.049999999999997">
      <c r="A49" s="1476" t="s">
        <v>364</v>
      </c>
      <c r="B49" s="1476" t="s">
        <v>365</v>
      </c>
      <c r="C49" s="1476" t="s">
        <v>366</v>
      </c>
      <c r="D49" s="1476" t="s">
        <v>626</v>
      </c>
      <c r="E49" s="2372"/>
      <c r="F49" s="2372"/>
      <c r="G49" s="2372"/>
      <c r="H49" s="2372"/>
      <c r="I49" s="2369"/>
      <c r="J49" s="1476"/>
      <c r="K49" s="1476"/>
      <c r="L49" s="1477"/>
      <c r="P49" s="2370"/>
      <c r="Q49" s="1563"/>
      <c r="R49" s="469"/>
      <c r="S49" s="1391"/>
      <c r="T49" s="478" t="s">
        <v>540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364</v>
      </c>
      <c r="B50" s="1476" t="s">
        <v>365</v>
      </c>
      <c r="C50" s="1476" t="s">
        <v>366</v>
      </c>
      <c r="D50" s="1476" t="s">
        <v>626</v>
      </c>
      <c r="E50" s="2372"/>
      <c r="F50" s="2372"/>
      <c r="G50" s="2372"/>
      <c r="H50" s="2371"/>
      <c r="I50" s="1476"/>
      <c r="J50" s="1476"/>
      <c r="K50" s="1476"/>
      <c r="L50" s="1477"/>
      <c r="M50" s="1478"/>
      <c r="N50" s="1478"/>
      <c r="O50" s="650"/>
      <c r="P50" s="473"/>
      <c r="Q50" s="488"/>
      <c r="R50" s="468"/>
      <c r="S50" s="1391"/>
      <c r="T50" s="485" t="s">
        <v>613</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8355" customFormat="1" customHeight="1" ht="0">
      <c r="A51" s="1456" t="s">
        <v>364</v>
      </c>
      <c r="B51" s="1456" t="s">
        <v>365</v>
      </c>
      <c r="C51" s="1427"/>
      <c r="D51" s="1427"/>
      <c r="E51" s="2372"/>
      <c r="F51" s="2371"/>
      <c r="G51" s="1427"/>
      <c r="H51" s="1427"/>
      <c r="I51" s="1427"/>
      <c r="J51" s="1427"/>
      <c r="K51" s="1427"/>
      <c r="L51" s="1571"/>
      <c r="M51" s="1434"/>
      <c r="N51" s="1434"/>
      <c r="P51" s="1429"/>
      <c r="Q51" s="1430"/>
      <c r="R51" s="1429"/>
      <c r="S51" s="1435"/>
      <c r="T51" s="1438" t="s">
        <v>298</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8355" customFormat="1" customHeight="1" ht="0">
      <c r="A52" s="1456" t="s">
        <v>364</v>
      </c>
      <c r="B52" s="1456"/>
      <c r="C52" s="1456"/>
      <c r="D52" s="1456"/>
      <c r="E52" s="2371"/>
      <c r="F52" s="1456"/>
      <c r="G52" s="1456"/>
      <c r="H52" s="1456"/>
      <c r="I52" s="1456"/>
      <c r="J52" s="1456"/>
      <c r="K52" s="1456"/>
      <c r="L52" s="1459"/>
      <c r="M52" s="1434"/>
      <c r="N52" s="1434"/>
      <c r="O52" s="631"/>
      <c r="P52" s="493"/>
      <c r="Q52" s="1457"/>
      <c r="R52" s="493"/>
      <c r="S52" s="1435"/>
      <c r="T52" s="1438" t="s">
        <v>355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8355"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356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29EE1D-84A2-0824-5848-C85091C7722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354" width="10.57421875" hidden="1"/>
    <col min="2" max="2" style="8354" width="11.00390625" hidden="1" customWidth="1"/>
    <col min="3" max="3" style="8354" width="10.57421875" hidden="1"/>
    <col min="4" max="4" style="8354" width="11.8515625" hidden="1" customWidth="1"/>
    <col min="5" max="5" style="8354" width="10.00390625" hidden="1" customWidth="1"/>
    <col min="6" max="6" style="8354" width="8.7109375" hidden="1" customWidth="1"/>
    <col min="7" max="7" style="8354" width="7.57421875" hidden="1" customWidth="1"/>
    <col min="8" max="8" style="8354" width="11.421875" hidden="1" customWidth="1"/>
    <col min="9" max="9" style="8354" width="14.140625" hidden="1" customWidth="1"/>
    <col min="10" max="10" style="8354" width="9.8515625" hidden="1" customWidth="1"/>
    <col min="11" max="11" style="8354" width="14.7109375" hidden="1" customWidth="1"/>
    <col min="12" max="12" style="9204" width="19.140625" hidden="1" customWidth="1"/>
    <col min="13" max="14" style="9205" width="12.28125" hidden="1" customWidth="1"/>
    <col min="15" max="15" style="9205" width="23.421875" hidden="1" customWidth="1"/>
    <col min="16" max="16" style="9206" width="3.00390625" customWidth="1"/>
    <col min="17" max="18" style="9207" width="3.00390625" customWidth="1"/>
    <col min="19" max="19" style="9208" width="12.00390625" customWidth="1"/>
    <col min="20" max="20" style="8273" width="35.00390625" customWidth="1"/>
    <col min="21" max="21" style="8273" width="0.140625" customWidth="1"/>
    <col min="22" max="24" style="8273" width="24.7109375" hidden="1" customWidth="1"/>
    <col min="25" max="25" style="8273" width="11.7109375" hidden="1" customWidth="1"/>
    <col min="26" max="26" style="8273" width="3.7109375" hidden="1" customWidth="1"/>
    <col min="27" max="27" style="8273" width="11.7109375" hidden="1" customWidth="1"/>
    <col min="28" max="28" style="8273" width="8.57421875" hidden="1" customWidth="1"/>
    <col min="29" max="29" style="8273" width="24.7109375" customWidth="1"/>
    <col min="30" max="31" style="8273" width="24.00390625" customWidth="1"/>
    <col min="32" max="32" style="8273" width="11.00390625" customWidth="1"/>
    <col min="33" max="33" style="8273" width="3.7109375" customWidth="1"/>
    <col min="34" max="34" style="8273" width="11.00390625" customWidth="1"/>
    <col min="35" max="35" style="8273" width="8.57421875" hidden="1" customWidth="1"/>
    <col min="36" max="36" style="8273" width="4.00390625" customWidth="1"/>
    <col min="37" max="37" style="8273" width="115.00390625" customWidth="1"/>
    <col min="38" max="42" style="8355" width="10.00390625" customWidth="1"/>
    <col min="43" max="43" style="827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198</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525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526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606</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607</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608</v>
      </c>
      <c r="U5" s="413"/>
      <c r="V5" s="2463"/>
      <c r="W5" s="2464"/>
      <c r="X5" s="2464"/>
      <c r="Y5" s="2464"/>
      <c r="Z5" s="2464"/>
      <c r="AA5" s="2464"/>
      <c r="AB5" s="2465"/>
      <c r="AC5" s="2466"/>
      <c r="AD5" s="2467"/>
      <c r="AE5" s="2467"/>
      <c r="AF5" s="2467"/>
      <c r="AG5" s="2467"/>
      <c r="AH5" s="2467"/>
      <c r="AI5" s="2467"/>
      <c r="AJ5" s="2468"/>
      <c r="AK5" s="1371" t="s">
        <v>609</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534</v>
      </c>
      <c r="P6" s="2370"/>
      <c r="Q6" s="2370">
        <v>1</v>
      </c>
      <c r="R6" s="470"/>
      <c r="S6" s="1570">
        <f>$J6</f>
      </c>
      <c r="T6" s="399" t="s">
        <v>535</v>
      </c>
      <c r="U6" s="413"/>
      <c r="V6" s="2358"/>
      <c r="W6" s="2359"/>
      <c r="X6" s="2359"/>
      <c r="Y6" s="2359"/>
      <c r="Z6" s="2359"/>
      <c r="AA6" s="2359"/>
      <c r="AB6" s="2360"/>
      <c r="AC6" s="2358"/>
      <c r="AD6" s="2359"/>
      <c r="AE6" s="2359"/>
      <c r="AF6" s="2359"/>
      <c r="AG6" s="2359"/>
      <c r="AH6" s="2359"/>
      <c r="AI6" s="2359"/>
      <c r="AJ6" s="2360"/>
      <c r="AK6" s="1420" t="s">
        <v>610</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611</v>
      </c>
      <c r="U9" s="480"/>
      <c r="V9" s="480"/>
      <c r="W9" s="480"/>
      <c r="X9" s="480"/>
      <c r="Y9" s="480"/>
      <c r="Z9" s="480"/>
      <c r="AA9" s="480"/>
      <c r="AB9" s="480"/>
      <c r="AC9" s="480"/>
      <c r="AD9" s="480"/>
      <c r="AE9" s="480"/>
      <c r="AF9" s="480"/>
      <c r="AG9" s="480"/>
      <c r="AH9" s="480"/>
      <c r="AI9" s="480"/>
      <c r="AJ9" s="480"/>
      <c r="AK9" s="1371" t="s">
        <v>612</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540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613</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8355"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298</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835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355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8354" customFormat="1" customHeight="1" ht="22.5" hidden="1">
      <c r="L18" s="1560"/>
      <c r="M18" s="1475"/>
      <c r="N18" s="1475"/>
      <c r="O18" s="1480" t="s">
        <v>543</v>
      </c>
      <c r="P18" s="1475"/>
      <c r="Q18" s="1484"/>
      <c r="R18" s="1484"/>
      <c r="S18" s="842"/>
      <c r="Y18" s="1480"/>
      <c r="AA18" s="1480"/>
      <c r="AB18" s="1479"/>
      <c r="AF18" s="1480"/>
      <c r="AH18" s="1480"/>
      <c r="AI18" s="1479"/>
      <c r="AL18" s="624"/>
      <c r="AM18" s="624"/>
      <c r="AN18" s="624"/>
      <c r="AO18" s="624"/>
      <c r="AP18" s="624"/>
      <c r="AQ18" s="1273">
        <v>0</v>
      </c>
    </row>
    <row s="8354" customFormat="1" customHeight="1" ht="14.25" hidden="1">
      <c r="L19" s="1560"/>
      <c r="M19" s="1475"/>
      <c r="N19" s="1475"/>
      <c r="O19" s="1475"/>
      <c r="P19" s="1475"/>
      <c r="Q19" s="1484"/>
      <c r="R19" s="1484"/>
      <c r="S19" s="842"/>
      <c r="AB19" s="1479"/>
      <c r="AI19" s="1479"/>
      <c r="AL19" s="624"/>
      <c r="AM19" s="624"/>
      <c r="AN19" s="624"/>
      <c r="AO19" s="624"/>
      <c r="AP19" s="624"/>
      <c r="AQ19" s="1273">
        <v>0</v>
      </c>
    </row>
    <row s="8354" customFormat="1" customHeight="1" ht="12" hidden="1">
      <c r="L20" s="1560"/>
      <c r="M20" s="1475"/>
      <c r="N20" s="1475"/>
      <c r="O20" s="1477" t="s">
        <v>544</v>
      </c>
      <c r="P20" s="1475"/>
      <c r="Q20" s="1555"/>
      <c r="R20" s="1555"/>
      <c r="S20" s="842"/>
      <c r="T20" s="1273" t="s">
        <v>545</v>
      </c>
      <c r="Z20" s="299" t="s">
        <v>546</v>
      </c>
      <c r="AB20" s="299" t="s">
        <v>547</v>
      </c>
      <c r="AC20" s="1273" t="s">
        <v>545</v>
      </c>
      <c r="AG20" s="299" t="s">
        <v>548</v>
      </c>
      <c r="AI20" s="299" t="s">
        <v>547</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МУП ЖКХ "Родник"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8491"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8491" customFormat="1" customHeight="1" ht="18.75" hidden="1">
      <c r="A28" s="1481"/>
      <c r="B28" s="1481"/>
      <c r="C28" s="1481"/>
      <c r="D28" s="1481"/>
      <c r="E28" s="1481"/>
      <c r="F28" s="1481"/>
      <c r="G28" s="1481"/>
      <c r="H28" s="1481"/>
      <c r="I28" s="1481"/>
      <c r="J28" s="1481"/>
      <c r="K28" s="1481"/>
      <c r="L28" s="1482"/>
      <c r="M28" s="1481"/>
      <c r="N28" s="1481"/>
      <c r="O28" s="1481"/>
      <c r="S28" s="2363" t="s">
        <v>549</v>
      </c>
      <c r="T28" s="2363"/>
      <c r="U28" s="1485"/>
      <c r="V28" s="2377" t="str">
        <f>IF(TITLE_DATE_PR_CHANGE="",IF(TITLE_DATE_PR="","",TITLE_DATE_PR),TITLE_DATE_PR_CHANGE)</f>
        <v>45586</v>
      </c>
      <c r="W28" s="2377"/>
      <c r="X28" s="2377"/>
      <c r="Y28" s="2377"/>
      <c r="Z28" s="2377"/>
      <c r="AA28" s="2377"/>
      <c r="AB28" s="439"/>
      <c r="AC28" s="2377" t="str">
        <f>IF(TITLE_DATE_PR_CHANGE="",IF(TITLE_DATE_PR="","",TITLE_DATE_PR),TITLE_DATE_PR_CHANGE)</f>
        <v>45586</v>
      </c>
      <c r="AD28" s="2377"/>
      <c r="AE28" s="2377"/>
      <c r="AF28" s="2377"/>
      <c r="AG28" s="2377"/>
      <c r="AH28" s="2377"/>
      <c r="AI28" s="439"/>
      <c r="AJ28" s="439"/>
      <c r="AK28" s="393"/>
      <c r="AL28" s="481"/>
      <c r="AM28" s="481"/>
      <c r="AN28" s="481"/>
      <c r="AO28" s="481"/>
      <c r="AP28" s="481"/>
      <c r="AQ28" s="531">
        <v>0</v>
      </c>
    </row>
    <row s="8491" customFormat="1" customHeight="1" ht="18.75" hidden="1">
      <c r="A29" s="1481"/>
      <c r="B29" s="1481"/>
      <c r="C29" s="1481"/>
      <c r="D29" s="1481"/>
      <c r="E29" s="1481"/>
      <c r="F29" s="1481"/>
      <c r="G29" s="1481"/>
      <c r="H29" s="1481"/>
      <c r="I29" s="1481"/>
      <c r="J29" s="1481"/>
      <c r="K29" s="1481"/>
      <c r="L29" s="1482"/>
      <c r="M29" s="1481"/>
      <c r="N29" s="1481"/>
      <c r="O29" s="1481"/>
      <c r="S29" s="2363" t="s">
        <v>550</v>
      </c>
      <c r="T29" s="2363"/>
      <c r="U29" s="1485"/>
      <c r="V29" s="2364" t="str">
        <f>IF(TITLE_NUMBER_PR_CHANGE="",IF(TITLE_NUMBER_PR="","",TITLE_NUMBER_PR),TITLE_NUMBER_PR_CHANGE)</f>
        <v>1577</v>
      </c>
      <c r="W29" s="2364"/>
      <c r="X29" s="2364"/>
      <c r="Y29" s="2364"/>
      <c r="Z29" s="2364"/>
      <c r="AA29" s="2364"/>
      <c r="AB29" s="439"/>
      <c r="AC29" s="2364" t="str">
        <f>IF(TITLE_NUMBER_PR_CHANGE="",IF(TITLE_NUMBER_PR="","",TITLE_NUMBER_PR),TITLE_NUMBER_PR_CHANGE)</f>
        <v>1577</v>
      </c>
      <c r="AD29" s="2364"/>
      <c r="AE29" s="2364"/>
      <c r="AF29" s="2364"/>
      <c r="AG29" s="2364"/>
      <c r="AH29" s="2364"/>
      <c r="AI29" s="439"/>
      <c r="AJ29" s="439"/>
      <c r="AK29" s="393"/>
      <c r="AL29" s="481"/>
      <c r="AM29" s="481"/>
      <c r="AN29" s="481"/>
      <c r="AO29" s="481"/>
      <c r="AP29" s="481"/>
      <c r="AQ29" s="531">
        <v>0</v>
      </c>
    </row>
    <row s="8491"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8491" customFormat="1" customHeight="1" ht="18.75">
      <c r="A32" s="1481"/>
      <c r="B32" s="1481"/>
      <c r="C32" s="1481"/>
      <c r="D32" s="1481"/>
      <c r="E32" s="1481"/>
      <c r="F32" s="1481"/>
      <c r="G32" s="1481"/>
      <c r="H32" s="1481"/>
      <c r="I32" s="1481"/>
      <c r="J32" s="1481"/>
      <c r="K32" s="1481"/>
      <c r="L32" s="1482"/>
      <c r="M32" s="1481"/>
      <c r="N32" s="1481"/>
      <c r="O32" s="1481"/>
      <c r="S32" s="2363" t="s">
        <v>551</v>
      </c>
      <c r="T32" s="2363"/>
      <c r="U32" s="1485"/>
      <c r="V32" s="2377" t="str">
        <f>IF(TITLE_DATE_PR_CHANGE="",IF(TITLE_DATE_PR="","",TITLE_DATE_PR),TITLE_DATE_PR_CHANGE)</f>
        <v>45586</v>
      </c>
      <c r="W32" s="2377"/>
      <c r="X32" s="2377"/>
      <c r="Y32" s="2377"/>
      <c r="Z32" s="2377"/>
      <c r="AA32" s="2377"/>
      <c r="AB32" s="439"/>
      <c r="AC32" s="2377" t="str">
        <f>IF(TITLE_DATE_PR_CHANGE="",IF(TITLE_DATE_PR="","",TITLE_DATE_PR),TITLE_DATE_PR_CHANGE)</f>
        <v>45586</v>
      </c>
      <c r="AD32" s="2377"/>
      <c r="AE32" s="2377"/>
      <c r="AF32" s="2377"/>
      <c r="AG32" s="2377"/>
      <c r="AH32" s="2377"/>
      <c r="AI32" s="439"/>
      <c r="AJ32" s="439"/>
      <c r="AK32" s="393"/>
      <c r="AL32" s="481"/>
      <c r="AM32" s="481"/>
      <c r="AN32" s="481"/>
      <c r="AO32" s="481"/>
      <c r="AP32" s="481"/>
      <c r="AQ32" s="531">
        <v>0</v>
      </c>
    </row>
    <row s="8491" customFormat="1" customHeight="1" ht="18.75">
      <c r="A33" s="1481"/>
      <c r="B33" s="1481"/>
      <c r="C33" s="1481"/>
      <c r="D33" s="1481"/>
      <c r="E33" s="1481"/>
      <c r="F33" s="1481"/>
      <c r="G33" s="1481"/>
      <c r="H33" s="1481"/>
      <c r="I33" s="1481"/>
      <c r="J33" s="1481"/>
      <c r="K33" s="1481"/>
      <c r="L33" s="1482"/>
      <c r="M33" s="1481"/>
      <c r="N33" s="1481"/>
      <c r="O33" s="1481"/>
      <c r="S33" s="2363" t="s">
        <v>552</v>
      </c>
      <c r="T33" s="2363"/>
      <c r="U33" s="1485"/>
      <c r="V33" s="2364" t="str">
        <f>IF(TITLE_NUMBER_PR_CHANGE="",IF(TITLE_NUMBER_PR="","",TITLE_NUMBER_PR),TITLE_NUMBER_PR_CHANGE)</f>
        <v>1577</v>
      </c>
      <c r="W33" s="2364"/>
      <c r="X33" s="2364"/>
      <c r="Y33" s="2364"/>
      <c r="Z33" s="2364"/>
      <c r="AA33" s="2364"/>
      <c r="AB33" s="439"/>
      <c r="AC33" s="2364" t="str">
        <f>IF(TITLE_NUMBER_PR_CHANGE="",IF(TITLE_NUMBER_PR="","",TITLE_NUMBER_PR),TITLE_NUMBER_PR_CHANGE)</f>
        <v>1577</v>
      </c>
      <c r="AD33" s="2364"/>
      <c r="AE33" s="2364"/>
      <c r="AF33" s="2364"/>
      <c r="AG33" s="2364"/>
      <c r="AH33" s="2364"/>
      <c r="AI33" s="439"/>
      <c r="AJ33" s="439"/>
      <c r="AK33" s="393"/>
      <c r="AL33" s="481"/>
      <c r="AM33" s="481"/>
      <c r="AN33" s="481"/>
      <c r="AO33" s="481"/>
      <c r="AP33" s="481"/>
      <c r="AQ33" s="531">
        <v>0</v>
      </c>
    </row>
    <row s="8491"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553</v>
      </c>
      <c r="AC34" s="439"/>
      <c r="AD34" s="439"/>
      <c r="AE34" s="439"/>
      <c r="AF34" s="439"/>
      <c r="AG34" s="439"/>
      <c r="AH34" s="439"/>
      <c r="AI34" s="391" t="s">
        <v>553</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428</v>
      </c>
      <c r="T36" s="2240"/>
      <c r="U36" s="2240"/>
      <c r="V36" s="2240"/>
      <c r="W36" s="2240"/>
      <c r="X36" s="2240"/>
      <c r="Y36" s="2240"/>
      <c r="Z36" s="2240"/>
      <c r="AA36" s="2240"/>
      <c r="AB36" s="2240"/>
      <c r="AC36" s="2240"/>
      <c r="AD36" s="2240"/>
      <c r="AE36" s="2240"/>
      <c r="AF36" s="2240"/>
      <c r="AG36" s="2240"/>
      <c r="AH36" s="2240"/>
      <c r="AI36" s="2240"/>
      <c r="AJ36" s="2240"/>
      <c r="AK36" s="2240" t="s">
        <v>429</v>
      </c>
      <c r="AQ36" s="1268">
        <v>14</v>
      </c>
    </row>
    <row customHeight="1" ht="14.699999999999998">
      <c r="Q37" s="489"/>
      <c r="R37" s="489"/>
      <c r="S37" s="2386" t="s">
        <v>88</v>
      </c>
      <c r="T37" s="2322" t="s">
        <v>554</v>
      </c>
      <c r="U37" s="414"/>
      <c r="V37" s="2387" t="s">
        <v>555</v>
      </c>
      <c r="W37" s="2388"/>
      <c r="X37" s="2388"/>
      <c r="Y37" s="2388"/>
      <c r="Z37" s="2388"/>
      <c r="AA37" s="2389"/>
      <c r="AB37" s="2390" t="s">
        <v>556</v>
      </c>
      <c r="AC37" s="2387" t="s">
        <v>555</v>
      </c>
      <c r="AD37" s="2388"/>
      <c r="AE37" s="2388"/>
      <c r="AF37" s="2388"/>
      <c r="AG37" s="2388"/>
      <c r="AH37" s="2389"/>
      <c r="AI37" s="2390" t="s">
        <v>557</v>
      </c>
      <c r="AJ37" s="2393" t="s">
        <v>558</v>
      </c>
      <c r="AK37" s="2240"/>
      <c r="AQ37" s="1268">
        <v>14</v>
      </c>
    </row>
    <row customHeight="1" ht="35.699999999999996">
      <c r="Q38" s="489"/>
      <c r="R38" s="489"/>
      <c r="S38" s="2386"/>
      <c r="T38" s="2322"/>
      <c r="U38" s="1144"/>
      <c r="V38" s="1565" t="s">
        <v>614</v>
      </c>
      <c r="W38" s="2375" t="s">
        <v>561</v>
      </c>
      <c r="X38" s="2376"/>
      <c r="Y38" s="2375" t="s">
        <v>562</v>
      </c>
      <c r="Z38" s="2382"/>
      <c r="AA38" s="2376"/>
      <c r="AB38" s="2391"/>
      <c r="AC38" s="1565" t="s">
        <v>614</v>
      </c>
      <c r="AD38" s="2375" t="s">
        <v>561</v>
      </c>
      <c r="AE38" s="2376"/>
      <c r="AF38" s="2375" t="s">
        <v>562</v>
      </c>
      <c r="AG38" s="2382"/>
      <c r="AH38" s="2376"/>
      <c r="AI38" s="2391"/>
      <c r="AJ38" s="2394"/>
      <c r="AK38" s="2240"/>
      <c r="AQ38" s="1268">
        <v>34</v>
      </c>
    </row>
    <row customHeight="1" ht="35.699999999999996">
      <c r="A39" s="1483"/>
      <c r="B39" s="1483" t="s">
        <v>210</v>
      </c>
      <c r="C39" s="1483" t="s">
        <v>211</v>
      </c>
      <c r="D39" s="1483" t="s">
        <v>212</v>
      </c>
      <c r="E39" s="1477" t="s">
        <v>563</v>
      </c>
      <c r="F39" s="1477" t="s">
        <v>564</v>
      </c>
      <c r="G39" s="1477" t="s">
        <v>565</v>
      </c>
      <c r="H39" s="1477"/>
      <c r="I39" s="1477" t="s">
        <v>615</v>
      </c>
      <c r="J39" s="1477" t="s">
        <v>568</v>
      </c>
      <c r="K39" s="1477" t="s">
        <v>616</v>
      </c>
      <c r="L39" s="1477" t="s">
        <v>544</v>
      </c>
      <c r="Q39" s="489"/>
      <c r="R39" s="489"/>
      <c r="S39" s="2386"/>
      <c r="T39" s="2322"/>
      <c r="U39" s="415"/>
      <c r="V39" s="1565" t="s">
        <v>617</v>
      </c>
      <c r="W39" s="1335" t="s">
        <v>618</v>
      </c>
      <c r="X39" s="1335" t="s">
        <v>619</v>
      </c>
      <c r="Y39" s="1568" t="s">
        <v>572</v>
      </c>
      <c r="Z39" s="2383" t="s">
        <v>573</v>
      </c>
      <c r="AA39" s="2384"/>
      <c r="AB39" s="2392"/>
      <c r="AC39" s="1565" t="s">
        <v>617</v>
      </c>
      <c r="AD39" s="1335" t="s">
        <v>618</v>
      </c>
      <c r="AE39" s="1335" t="s">
        <v>619</v>
      </c>
      <c r="AF39" s="1568" t="s">
        <v>572</v>
      </c>
      <c r="AG39" s="2383" t="s">
        <v>573</v>
      </c>
      <c r="AH39" s="2384"/>
      <c r="AI39" s="2392"/>
      <c r="AJ39" s="2395"/>
      <c r="AK39" s="2240"/>
      <c r="AQ39" s="1268">
        <v>34</v>
      </c>
    </row>
    <row s="8962"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187</v>
      </c>
      <c r="T40" s="1368" t="s">
        <v>104</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369</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198</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369</v>
      </c>
      <c r="B42" s="1476" t="s">
        <v>370</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525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526</v>
      </c>
      <c r="AM42" s="613"/>
      <c r="AN42" s="613" t="str">
        <f>IF(T42="","",T42)</f>
        <v>Территория действия тарифа</v>
      </c>
      <c r="AO42" s="613"/>
      <c r="AP42" s="613"/>
      <c r="AQ42" s="1268">
        <v>23</v>
      </c>
    </row>
    <row customHeight="1" ht="24">
      <c r="A43" s="1476" t="s">
        <v>369</v>
      </c>
      <c r="B43" s="1476" t="s">
        <v>370</v>
      </c>
      <c r="C43" s="1476" t="s">
        <v>371</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606</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607</v>
      </c>
      <c r="AM43" s="613"/>
      <c r="AN43" s="613" t="str">
        <f>IF(T43="","",T43)</f>
        <v>Наименование централизованной системы холодного водоснабжения</v>
      </c>
      <c r="AO43" s="613"/>
      <c r="AP43" s="613"/>
      <c r="AQ43" s="1268">
        <v>23</v>
      </c>
    </row>
    <row customHeight="1" ht="24">
      <c r="A44" s="1476" t="s">
        <v>369</v>
      </c>
      <c r="B44" s="1476" t="s">
        <v>370</v>
      </c>
      <c r="C44" s="1476" t="s">
        <v>371</v>
      </c>
      <c r="D44" s="1476" t="s">
        <v>627</v>
      </c>
      <c r="E44" s="2372"/>
      <c r="F44" s="2372"/>
      <c r="G44" s="2372"/>
      <c r="H44" s="2372"/>
      <c r="I44" s="2369" t="str">
        <f>S43&amp;".1"</f>
        <v>...1</v>
      </c>
      <c r="J44" s="1476"/>
      <c r="K44" s="1476"/>
      <c r="L44" s="1477"/>
      <c r="P44" s="2370">
        <v>1</v>
      </c>
      <c r="Q44" s="1563"/>
      <c r="R44" s="469"/>
      <c r="S44" s="1570" t="str">
        <f>$I44</f>
        <v>...1</v>
      </c>
      <c r="T44" s="398" t="s">
        <v>608</v>
      </c>
      <c r="U44" s="413"/>
      <c r="V44" s="2463"/>
      <c r="W44" s="2464"/>
      <c r="X44" s="2464"/>
      <c r="Y44" s="2464"/>
      <c r="Z44" s="2464"/>
      <c r="AA44" s="2464"/>
      <c r="AB44" s="2465"/>
      <c r="AC44" s="2466"/>
      <c r="AD44" s="2467"/>
      <c r="AE44" s="2467"/>
      <c r="AF44" s="2467"/>
      <c r="AG44" s="2467"/>
      <c r="AH44" s="2467"/>
      <c r="AI44" s="2467"/>
      <c r="AJ44" s="2468"/>
      <c r="AK44" s="1371" t="s">
        <v>609</v>
      </c>
      <c r="AM44" s="613"/>
      <c r="AN44" s="613" t="str">
        <f>IF(T44="","",T44)</f>
        <v>Наименование признака дифференциации</v>
      </c>
      <c r="AO44" s="613"/>
      <c r="AP44" s="613"/>
      <c r="AQ44" s="1268">
        <v>23</v>
      </c>
    </row>
    <row customHeight="1" ht="24">
      <c r="A45" s="1476" t="s">
        <v>369</v>
      </c>
      <c r="B45" s="1476" t="s">
        <v>370</v>
      </c>
      <c r="C45" s="1476" t="s">
        <v>371</v>
      </c>
      <c r="D45" s="1476" t="s">
        <v>627</v>
      </c>
      <c r="E45" s="2372"/>
      <c r="F45" s="2372"/>
      <c r="G45" s="2372"/>
      <c r="H45" s="2372"/>
      <c r="I45" s="2399"/>
      <c r="J45" s="2369" t="str">
        <f>I44&amp;".1"</f>
        <v>...1.1</v>
      </c>
      <c r="K45" s="1476"/>
      <c r="L45" s="1477" t="s">
        <v>534</v>
      </c>
      <c r="P45" s="2370"/>
      <c r="Q45" s="2370">
        <v>1</v>
      </c>
      <c r="R45" s="470"/>
      <c r="S45" s="1570" t="str">
        <f>$J45</f>
        <v>...1.1</v>
      </c>
      <c r="T45" s="399" t="s">
        <v>535</v>
      </c>
      <c r="U45" s="413"/>
      <c r="V45" s="2358"/>
      <c r="W45" s="2359"/>
      <c r="X45" s="2359"/>
      <c r="Y45" s="2359"/>
      <c r="Z45" s="2359"/>
      <c r="AA45" s="2359"/>
      <c r="AB45" s="2360"/>
      <c r="AC45" s="2358"/>
      <c r="AD45" s="2359"/>
      <c r="AE45" s="2359"/>
      <c r="AF45" s="2359"/>
      <c r="AG45" s="2359"/>
      <c r="AH45" s="2359"/>
      <c r="AI45" s="2359"/>
      <c r="AJ45" s="2360"/>
      <c r="AK45" s="1420" t="s">
        <v>610</v>
      </c>
      <c r="AM45" s="613"/>
      <c r="AN45" s="613" t="str">
        <f>IF(T45="","",T45)</f>
        <v>Группа потребителей</v>
      </c>
      <c r="AO45" s="613"/>
      <c r="AP45" s="613"/>
      <c r="AQ45" s="1268">
        <v>23</v>
      </c>
    </row>
    <row customHeight="1" ht="24">
      <c r="A46" s="1476" t="s">
        <v>369</v>
      </c>
      <c r="B46" s="1476" t="s">
        <v>370</v>
      </c>
      <c r="C46" s="1476" t="s">
        <v>371</v>
      </c>
      <c r="D46" s="1476" t="s">
        <v>627</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369</v>
      </c>
      <c r="B47" s="1476" t="s">
        <v>370</v>
      </c>
      <c r="C47" s="1476" t="s">
        <v>371</v>
      </c>
      <c r="D47" s="1476" t="s">
        <v>627</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369</v>
      </c>
      <c r="B48" s="1476" t="s">
        <v>370</v>
      </c>
      <c r="C48" s="1476" t="s">
        <v>371</v>
      </c>
      <c r="D48" s="1476" t="s">
        <v>627</v>
      </c>
      <c r="E48" s="2372"/>
      <c r="F48" s="2372"/>
      <c r="G48" s="2372"/>
      <c r="H48" s="2372"/>
      <c r="I48" s="2399"/>
      <c r="J48" s="2369"/>
      <c r="K48" s="1476"/>
      <c r="L48" s="1477"/>
      <c r="P48" s="2370"/>
      <c r="Q48" s="2370"/>
      <c r="R48" s="469"/>
      <c r="S48" s="1391"/>
      <c r="T48" s="400" t="s">
        <v>611</v>
      </c>
      <c r="U48" s="480"/>
      <c r="V48" s="480"/>
      <c r="W48" s="480"/>
      <c r="X48" s="480"/>
      <c r="Y48" s="480"/>
      <c r="Z48" s="480"/>
      <c r="AA48" s="480"/>
      <c r="AB48" s="480"/>
      <c r="AC48" s="480"/>
      <c r="AD48" s="480"/>
      <c r="AE48" s="480"/>
      <c r="AF48" s="480"/>
      <c r="AG48" s="480"/>
      <c r="AH48" s="480"/>
      <c r="AI48" s="480"/>
      <c r="AJ48" s="480"/>
      <c r="AK48" s="1371" t="s">
        <v>612</v>
      </c>
      <c r="AM48" s="613"/>
      <c r="AN48" s="613" t="str">
        <f>IF(T48="","",T48)</f>
        <v>Добавить значение признака дифференциации</v>
      </c>
      <c r="AO48" s="613"/>
      <c r="AP48" s="613"/>
      <c r="AQ48" s="1268">
        <v>20</v>
      </c>
    </row>
    <row customHeight="1" ht="22.049999999999997">
      <c r="A49" s="1476" t="s">
        <v>369</v>
      </c>
      <c r="B49" s="1476" t="s">
        <v>370</v>
      </c>
      <c r="C49" s="1476" t="s">
        <v>371</v>
      </c>
      <c r="D49" s="1476" t="s">
        <v>627</v>
      </c>
      <c r="E49" s="2372"/>
      <c r="F49" s="2372"/>
      <c r="G49" s="2372"/>
      <c r="H49" s="2372"/>
      <c r="I49" s="2369"/>
      <c r="J49" s="1476"/>
      <c r="K49" s="1476"/>
      <c r="L49" s="1477"/>
      <c r="P49" s="2370"/>
      <c r="Q49" s="1563"/>
      <c r="R49" s="469"/>
      <c r="S49" s="1391"/>
      <c r="T49" s="478" t="s">
        <v>540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369</v>
      </c>
      <c r="B50" s="1476" t="s">
        <v>370</v>
      </c>
      <c r="C50" s="1476" t="s">
        <v>371</v>
      </c>
      <c r="D50" s="1476" t="s">
        <v>627</v>
      </c>
      <c r="E50" s="2372"/>
      <c r="F50" s="2372"/>
      <c r="G50" s="2372"/>
      <c r="H50" s="2371"/>
      <c r="I50" s="1476"/>
      <c r="J50" s="1476"/>
      <c r="K50" s="1476"/>
      <c r="L50" s="1477"/>
      <c r="M50" s="1478"/>
      <c r="N50" s="1478"/>
      <c r="O50" s="650"/>
      <c r="P50" s="473"/>
      <c r="Q50" s="488"/>
      <c r="R50" s="468"/>
      <c r="S50" s="1391"/>
      <c r="T50" s="485" t="s">
        <v>613</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8355" customFormat="1" customHeight="1" ht="0">
      <c r="A51" s="1456" t="s">
        <v>369</v>
      </c>
      <c r="B51" s="1456" t="s">
        <v>370</v>
      </c>
      <c r="C51" s="1427"/>
      <c r="D51" s="1427"/>
      <c r="E51" s="2372"/>
      <c r="F51" s="2371"/>
      <c r="G51" s="1427"/>
      <c r="H51" s="1427"/>
      <c r="I51" s="1427"/>
      <c r="J51" s="1427"/>
      <c r="K51" s="1427"/>
      <c r="L51" s="1571"/>
      <c r="M51" s="1434"/>
      <c r="N51" s="1434"/>
      <c r="P51" s="1429"/>
      <c r="Q51" s="1430"/>
      <c r="R51" s="1429"/>
      <c r="S51" s="1435"/>
      <c r="T51" s="1438" t="s">
        <v>298</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8355" customFormat="1" customHeight="1" ht="0">
      <c r="A52" s="1456" t="s">
        <v>369</v>
      </c>
      <c r="B52" s="1456"/>
      <c r="C52" s="1456"/>
      <c r="D52" s="1456"/>
      <c r="E52" s="2371"/>
      <c r="F52" s="1456"/>
      <c r="G52" s="1456"/>
      <c r="H52" s="1456"/>
      <c r="I52" s="1456"/>
      <c r="J52" s="1456"/>
      <c r="K52" s="1456"/>
      <c r="L52" s="1459"/>
      <c r="M52" s="1434"/>
      <c r="N52" s="1434"/>
      <c r="O52" s="631"/>
      <c r="P52" s="493"/>
      <c r="Q52" s="1457"/>
      <c r="R52" s="493"/>
      <c r="S52" s="1435"/>
      <c r="T52" s="1438" t="s">
        <v>355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8355"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356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91DAAE-A782-2B6D-39A2-31EC962D06FA}"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8273" width="10.140625" hidden="1" customWidth="1"/>
    <col min="4" max="4" style="8273" width="11.8515625" hidden="1" customWidth="1"/>
    <col min="5" max="11" style="8273" width="10.140625" hidden="1" customWidth="1"/>
    <col min="12" max="12" style="8352" width="10.140625" hidden="1" customWidth="1"/>
    <col min="13" max="15" style="9206" width="10.140625" hidden="1" customWidth="1"/>
    <col min="16" max="16" style="9205" width="3.00390625" customWidth="1"/>
    <col min="17" max="17" style="9390" width="3.00390625" customWidth="1"/>
    <col min="18" max="18" style="9207" width="3.00390625" customWidth="1"/>
    <col min="19" max="19" style="9208" width="12.00390625" customWidth="1"/>
    <col min="20" max="20" style="8273" width="31.00390625" customWidth="1"/>
    <col min="21" max="21" style="8273" width="0.140625" customWidth="1"/>
    <col min="22" max="23" style="8273" width="21.7109375" hidden="1" customWidth="1"/>
    <col min="24" max="24" style="8273" width="11.7109375" hidden="1" customWidth="1"/>
    <col min="25" max="25" style="8273" width="3.7109375" hidden="1" customWidth="1"/>
    <col min="26" max="26" style="8273" width="11.7109375" hidden="1" customWidth="1"/>
    <col min="27" max="27" style="8273" width="8.57421875" hidden="1" customWidth="1"/>
    <col min="28" max="28" style="8273" width="27.00390625" customWidth="1"/>
    <col min="29" max="29" style="8273" width="24.57421875" customWidth="1"/>
    <col min="30" max="31" style="8273" width="21.00390625" customWidth="1"/>
    <col min="32" max="32" style="8273" width="11.00390625" customWidth="1"/>
    <col min="33" max="33" style="8273" width="3.7109375" customWidth="1"/>
    <col min="34" max="34" style="8273" width="11.00390625" customWidth="1"/>
    <col min="35" max="35" style="8273" width="8.57421875" hidden="1" customWidth="1"/>
    <col min="36" max="36" style="8273" width="4.00390625" customWidth="1"/>
    <col min="37" max="37" style="8273" width="115.00390625" customWidth="1"/>
    <col min="38" max="42" style="8355" width="10.00390625" customWidth="1"/>
    <col min="43" max="43" style="8273"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198</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524</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525</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526</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527</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528</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529</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530</v>
      </c>
      <c r="AM5" s="1737"/>
      <c r="AN5" s="1737" t="str">
        <f>IF(T5="","",T5)</f>
        <v>Источник тепловой энергии  </v>
      </c>
      <c r="AO5" s="1737"/>
      <c r="AP5" s="1737"/>
      <c r="AQ5" s="1744">
        <v>0</v>
      </c>
    </row>
    <row s="8355" customFormat="1" customHeight="1" ht="0.75" hidden="1">
      <c r="A6" s="1488"/>
      <c r="B6" s="1488"/>
      <c r="C6" s="1488"/>
      <c r="D6" s="1488"/>
      <c r="E6" s="2403"/>
      <c r="F6" s="2403"/>
      <c r="G6" s="2403"/>
      <c r="H6" s="2403"/>
      <c r="I6" s="2240">
        <f>S5&amp;".1"</f>
      </c>
      <c r="J6" s="1488"/>
      <c r="K6" s="1488"/>
      <c r="L6" s="1494" t="s">
        <v>531</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8355"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66</v>
      </c>
      <c r="Z8" s="2105"/>
      <c r="AA8" s="2103" t="s">
        <v>66</v>
      </c>
      <c r="AB8" s="2109"/>
      <c r="AC8" s="2110" t="s">
        <v>28</v>
      </c>
      <c r="AD8" s="864"/>
      <c r="AE8" s="1370"/>
      <c r="AF8" s="2068"/>
      <c r="AG8" s="2055" t="s">
        <v>66</v>
      </c>
      <c r="AH8" s="2068"/>
      <c r="AI8" s="2055" t="s">
        <v>66</v>
      </c>
      <c r="AJ8" s="1461"/>
      <c r="AK8" s="2366" t="s">
        <v>589</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593</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8355"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8355"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8355"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542</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8355"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298</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8355"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355</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66</v>
      </c>
      <c r="AH16" s="1849"/>
      <c r="AI16" s="2079" t="s">
        <v>66</v>
      </c>
      <c r="AQ16" s="1744">
        <v>0</v>
      </c>
    </row>
    <row customHeight="1" ht="14.25" hidden="1">
      <c r="AL17" s="1754"/>
      <c r="AM17" s="1754"/>
      <c r="AN17" s="1754"/>
      <c r="AO17" s="1754"/>
      <c r="AP17" s="1754"/>
      <c r="AQ17" s="1744">
        <v>0</v>
      </c>
    </row>
    <row customHeight="1" ht="14.25" hidden="1">
      <c r="O18" s="1458" t="s">
        <v>543</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9361" customFormat="1" customHeight="1" ht="14.25" hidden="1">
      <c r="A20" s="2084"/>
      <c r="B20" s="2084"/>
      <c r="C20" s="2084"/>
      <c r="D20" s="2084"/>
      <c r="E20" s="2084"/>
      <c r="F20" s="2084"/>
      <c r="G20" s="2084"/>
      <c r="H20" s="2084"/>
      <c r="I20" s="2084"/>
      <c r="J20" s="2084"/>
      <c r="K20" s="2084"/>
      <c r="L20" s="2084"/>
      <c r="M20" s="2085"/>
      <c r="N20" s="2085"/>
      <c r="O20" s="2086" t="s">
        <v>544</v>
      </c>
      <c r="P20" s="1621"/>
      <c r="Q20" s="1623"/>
      <c r="R20" s="1623"/>
      <c r="Y20" s="1620" t="s">
        <v>546</v>
      </c>
      <c r="AA20" s="1620" t="s">
        <v>547</v>
      </c>
      <c r="AC20" s="1620" t="s">
        <v>595</v>
      </c>
      <c r="AG20" s="1620" t="s">
        <v>546</v>
      </c>
      <c r="AI20" s="1620" t="s">
        <v>547</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МУП ЖКХ "Родник"</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8491"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8491"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549</v>
      </c>
      <c r="T28" s="2363"/>
      <c r="U28" s="1485"/>
      <c r="V28" s="2377" t="str">
        <f>IF(TITLE_DATE_PR_CHANGE="",IF(TITLE_DATE_PR="","",TITLE_DATE_PR),TITLE_DATE_PR_CHANGE)</f>
        <v>45586</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8491"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550</v>
      </c>
      <c r="T29" s="2363"/>
      <c r="U29" s="1485"/>
      <c r="V29" s="2364" t="str">
        <f>IF(TITLE_NUMBER_PR_CHANGE="",IF(TITLE_NUMBER_PR="","",TITLE_NUMBER_PR),TITLE_NUMBER_PR_CHANGE)</f>
        <v>1577</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8491"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8491"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549</v>
      </c>
      <c r="T32" s="2363"/>
      <c r="U32" s="1485"/>
      <c r="V32" s="2377" t="str">
        <f>IF(TITLE_DATE_PR_CHANGE="",IF(TITLE_DATE_PR="","",TITLE_DATE_PR),TITLE_DATE_PR_CHANGE)</f>
        <v>45586</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8491"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550</v>
      </c>
      <c r="T33" s="2363"/>
      <c r="U33" s="1485"/>
      <c r="V33" s="2364" t="str">
        <f>IF(TITLE_NUMBER_PR_CHANGE="",IF(TITLE_NUMBER_PR="","",TITLE_NUMBER_PR),TITLE_NUMBER_PR_CHANGE)</f>
        <v>1577</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8491"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553</v>
      </c>
      <c r="AB34" s="1755"/>
      <c r="AC34" s="1748"/>
      <c r="AD34" s="1748"/>
      <c r="AE34" s="1748"/>
      <c r="AF34" s="1748"/>
      <c r="AG34" s="1748"/>
      <c r="AH34" s="1748"/>
      <c r="AI34" s="1755" t="s">
        <v>553</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428</v>
      </c>
      <c r="T36" s="2240"/>
      <c r="U36" s="2240"/>
      <c r="V36" s="2240"/>
      <c r="W36" s="2240"/>
      <c r="X36" s="2240"/>
      <c r="Y36" s="2240"/>
      <c r="Z36" s="2240"/>
      <c r="AA36" s="2288"/>
      <c r="AB36" s="2288"/>
      <c r="AC36" s="2288"/>
      <c r="AD36" s="2240"/>
      <c r="AE36" s="2240"/>
      <c r="AF36" s="2240"/>
      <c r="AG36" s="2240"/>
      <c r="AH36" s="2240"/>
      <c r="AI36" s="2240"/>
      <c r="AJ36" s="2240"/>
      <c r="AK36" s="2240" t="s">
        <v>429</v>
      </c>
      <c r="AQ36" s="1744">
        <v>14</v>
      </c>
    </row>
    <row customHeight="1" ht="14.699999999999998">
      <c r="Q37" s="404"/>
      <c r="R37" s="489"/>
      <c r="S37" s="2386" t="s">
        <v>88</v>
      </c>
      <c r="T37" s="2322" t="s">
        <v>628</v>
      </c>
      <c r="U37" s="450"/>
      <c r="V37" s="2388"/>
      <c r="W37" s="2388"/>
      <c r="X37" s="2388"/>
      <c r="Y37" s="2388"/>
      <c r="Z37" s="2388"/>
      <c r="AA37" s="2322" t="s">
        <v>556</v>
      </c>
      <c r="AB37" s="2321" t="s">
        <v>629</v>
      </c>
      <c r="AC37" s="2321" t="s">
        <v>599</v>
      </c>
      <c r="AD37" s="2404" t="s">
        <v>555</v>
      </c>
      <c r="AE37" s="2404"/>
      <c r="AF37" s="2388"/>
      <c r="AG37" s="2388"/>
      <c r="AH37" s="2389"/>
      <c r="AI37" s="2390" t="s">
        <v>556</v>
      </c>
      <c r="AJ37" s="2393" t="s">
        <v>558</v>
      </c>
      <c r="AK37" s="2240"/>
      <c r="AQ37" s="1744">
        <v>14</v>
      </c>
    </row>
    <row customHeight="1" ht="35.699999999999996">
      <c r="Q38" s="404"/>
      <c r="R38" s="489"/>
      <c r="S38" s="2386"/>
      <c r="T38" s="2322"/>
      <c r="U38" s="1144"/>
      <c r="V38" s="2216" t="s">
        <v>602</v>
      </c>
      <c r="W38" s="2240"/>
      <c r="X38" s="2407" t="s">
        <v>562</v>
      </c>
      <c r="Y38" s="2426"/>
      <c r="Z38" s="2426"/>
      <c r="AA38" s="2322"/>
      <c r="AB38" s="2321"/>
      <c r="AC38" s="2321"/>
      <c r="AD38" s="2216" t="s">
        <v>602</v>
      </c>
      <c r="AE38" s="2240"/>
      <c r="AF38" s="2426" t="s">
        <v>562</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210</v>
      </c>
      <c r="C40" s="1379" t="s">
        <v>211</v>
      </c>
      <c r="D40" s="1379" t="s">
        <v>212</v>
      </c>
      <c r="E40" s="1423" t="s">
        <v>563</v>
      </c>
      <c r="F40" s="1423" t="s">
        <v>564</v>
      </c>
      <c r="G40" s="1423" t="s">
        <v>565</v>
      </c>
      <c r="H40" s="1423" t="s">
        <v>566</v>
      </c>
      <c r="I40" s="1423" t="s">
        <v>567</v>
      </c>
      <c r="J40" s="1423" t="s">
        <v>568</v>
      </c>
      <c r="K40" s="1423" t="s">
        <v>569</v>
      </c>
      <c r="L40" s="1423" t="s">
        <v>544</v>
      </c>
      <c r="Q40" s="404"/>
      <c r="R40" s="489"/>
      <c r="S40" s="2386"/>
      <c r="T40" s="2322"/>
      <c r="U40" s="415"/>
      <c r="V40" s="2063" t="s">
        <v>603</v>
      </c>
      <c r="W40" s="2063" t="s">
        <v>604</v>
      </c>
      <c r="X40" s="2051" t="s">
        <v>572</v>
      </c>
      <c r="Y40" s="2383" t="s">
        <v>573</v>
      </c>
      <c r="Z40" s="2433"/>
      <c r="AA40" s="2322"/>
      <c r="AB40" s="2321"/>
      <c r="AC40" s="2321"/>
      <c r="AD40" s="2081" t="s">
        <v>603</v>
      </c>
      <c r="AE40" s="2072" t="s">
        <v>604</v>
      </c>
      <c r="AF40" s="2051" t="s">
        <v>572</v>
      </c>
      <c r="AG40" s="2383" t="s">
        <v>573</v>
      </c>
      <c r="AH40" s="2384"/>
      <c r="AI40" s="2392"/>
      <c r="AJ40" s="2395"/>
      <c r="AK40" s="2240"/>
      <c r="AQ40" s="1744">
        <v>14</v>
      </c>
    </row>
    <row s="8962"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187</v>
      </c>
      <c r="T41" s="1368" t="s">
        <v>104</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273</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198</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273</v>
      </c>
      <c r="B43" s="1380" t="s">
        <v>274</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525</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526</v>
      </c>
      <c r="AM43" s="1737"/>
      <c r="AN43" s="1737" t="str">
        <f>IF(T43="","",T43)</f>
        <v>Территория действия тарифа</v>
      </c>
      <c r="AO43" s="1737"/>
      <c r="AP43" s="1737"/>
      <c r="AQ43" s="1744">
        <v>21</v>
      </c>
    </row>
    <row customHeight="1" ht="24">
      <c r="A44" s="1380" t="s">
        <v>273</v>
      </c>
      <c r="B44" s="1380" t="s">
        <v>274</v>
      </c>
      <c r="C44" s="1380" t="s">
        <v>275</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527</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528</v>
      </c>
      <c r="AM44" s="1737"/>
      <c r="AN44" s="1737" t="str">
        <f>IF(T44="","",T44)</f>
        <v>Наименование системы теплоснабжения </v>
      </c>
      <c r="AO44" s="1737"/>
      <c r="AP44" s="1737"/>
      <c r="AQ44" s="1744">
        <v>23</v>
      </c>
    </row>
    <row customHeight="1" ht="22.049999999999997">
      <c r="A45" s="1380" t="s">
        <v>273</v>
      </c>
      <c r="B45" s="1380" t="s">
        <v>274</v>
      </c>
      <c r="C45" s="1380" t="s">
        <v>275</v>
      </c>
      <c r="D45" s="1380" t="s">
        <v>276</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529</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530</v>
      </c>
      <c r="AM45" s="1737"/>
      <c r="AN45" s="1737" t="str">
        <f>IF(T45="","",T45)</f>
        <v>Источник тепловой энергии  </v>
      </c>
      <c r="AO45" s="1737"/>
      <c r="AP45" s="1737"/>
      <c r="AQ45" s="1744">
        <v>21</v>
      </c>
    </row>
    <row s="8355" customFormat="1" customHeight="1" ht="0">
      <c r="A46" s="1488" t="s">
        <v>273</v>
      </c>
      <c r="B46" s="1488" t="s">
        <v>274</v>
      </c>
      <c r="C46" s="1488" t="s">
        <v>275</v>
      </c>
      <c r="D46" s="1488" t="s">
        <v>276</v>
      </c>
      <c r="E46" s="2403"/>
      <c r="F46" s="2403"/>
      <c r="G46" s="2403"/>
      <c r="H46" s="2403"/>
      <c r="I46" s="2240" t="str">
        <f>S45&amp;".1"</f>
        <v>....1</v>
      </c>
      <c r="J46" s="1488"/>
      <c r="K46" s="1488"/>
      <c r="L46" s="1494" t="s">
        <v>531</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8355" customFormat="1" customHeight="1" ht="0">
      <c r="A47" s="1488" t="s">
        <v>273</v>
      </c>
      <c r="B47" s="1488" t="s">
        <v>274</v>
      </c>
      <c r="C47" s="1488" t="s">
        <v>275</v>
      </c>
      <c r="D47" s="1488" t="s">
        <v>276</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273</v>
      </c>
      <c r="B48" s="1380" t="s">
        <v>274</v>
      </c>
      <c r="C48" s="1380" t="s">
        <v>275</v>
      </c>
      <c r="D48" s="1380" t="s">
        <v>276</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66</v>
      </c>
      <c r="Z48" s="2068"/>
      <c r="AA48" s="2055" t="s">
        <v>66</v>
      </c>
      <c r="AB48" s="2077"/>
      <c r="AC48" s="2076" t="s">
        <v>28</v>
      </c>
      <c r="AD48" s="864"/>
      <c r="AE48" s="1370"/>
      <c r="AF48" s="2068"/>
      <c r="AG48" s="2055" t="s">
        <v>66</v>
      </c>
      <c r="AH48" s="2068"/>
      <c r="AI48" s="2055" t="s">
        <v>66</v>
      </c>
      <c r="AJ48" s="1461"/>
      <c r="AK48" s="2366" t="s">
        <v>605</v>
      </c>
      <c r="AL48" s="1749">
        <f>STRCHECKDATE(#REF!)</f>
      </c>
      <c r="AM48" s="1737"/>
      <c r="AN48" s="1737" t="str">
        <f>IF(T48="","",T48)</f>
        <v/>
      </c>
      <c r="AO48" s="1737"/>
      <c r="AP48" s="1737"/>
      <c r="AQ48" s="1744">
        <v>21</v>
      </c>
    </row>
    <row customHeight="1" ht="11.549999999999999">
      <c r="A49" s="1380" t="s">
        <v>273</v>
      </c>
      <c r="B49" s="1380" t="s">
        <v>274</v>
      </c>
      <c r="C49" s="1380" t="s">
        <v>275</v>
      </c>
      <c r="D49" s="1380" t="s">
        <v>276</v>
      </c>
      <c r="E49" s="2403"/>
      <c r="F49" s="2403"/>
      <c r="G49" s="2403"/>
      <c r="H49" s="2403"/>
      <c r="I49" s="2214"/>
      <c r="J49" s="2240"/>
      <c r="K49" s="1380"/>
      <c r="L49" s="1423"/>
      <c r="P49" s="2370"/>
      <c r="Q49" s="2370"/>
      <c r="R49" s="469"/>
      <c r="S49" s="1391"/>
      <c r="T49" s="400" t="s">
        <v>593</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8355" customFormat="1" customHeight="1" ht="1.05">
      <c r="A50" s="1488" t="s">
        <v>273</v>
      </c>
      <c r="B50" s="1488" t="s">
        <v>274</v>
      </c>
      <c r="C50" s="1488" t="s">
        <v>275</v>
      </c>
      <c r="D50" s="1488" t="s">
        <v>276</v>
      </c>
      <c r="E50" s="2403"/>
      <c r="F50" s="2403"/>
      <c r="G50" s="2403"/>
      <c r="H50" s="2403"/>
      <c r="I50" s="2240"/>
      <c r="J50" s="1488"/>
      <c r="K50" s="1488"/>
      <c r="L50" s="1494"/>
      <c r="M50" s="1359"/>
      <c r="N50" s="1359"/>
      <c r="O50" s="1359"/>
      <c r="P50" s="2370"/>
      <c r="Q50" s="2067"/>
      <c r="R50" s="469"/>
      <c r="S50" s="1499"/>
      <c r="T50" s="1500" t="s">
        <v>540</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8962" customFormat="1" customHeight="1" ht="1.05">
      <c r="A51" s="1488" t="s">
        <v>273</v>
      </c>
      <c r="B51" s="1488" t="s">
        <v>274</v>
      </c>
      <c r="C51" s="1488" t="s">
        <v>275</v>
      </c>
      <c r="D51" s="1488" t="s">
        <v>276</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8355" customFormat="1" customHeight="1" ht="1.05">
      <c r="A52" s="1488" t="s">
        <v>273</v>
      </c>
      <c r="B52" s="1488" t="s">
        <v>274</v>
      </c>
      <c r="C52" s="1488" t="s">
        <v>275</v>
      </c>
      <c r="D52" s="1487"/>
      <c r="E52" s="2403"/>
      <c r="F52" s="2403"/>
      <c r="G52" s="2402"/>
      <c r="H52" s="1487"/>
      <c r="I52" s="1487"/>
      <c r="J52" s="1487"/>
      <c r="K52" s="1487"/>
      <c r="L52" s="1490"/>
      <c r="M52" s="1491"/>
      <c r="N52" s="1491"/>
      <c r="O52" s="464"/>
      <c r="P52" s="1429"/>
      <c r="Q52" s="1430"/>
      <c r="R52" s="1429"/>
      <c r="S52" s="1435"/>
      <c r="T52" s="1438" t="s">
        <v>542</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8355" customFormat="1" customHeight="1" ht="1.05">
      <c r="A53" s="1488" t="s">
        <v>273</v>
      </c>
      <c r="B53" s="1488" t="s">
        <v>274</v>
      </c>
      <c r="C53" s="1487"/>
      <c r="D53" s="1487"/>
      <c r="E53" s="2403"/>
      <c r="F53" s="2402"/>
      <c r="G53" s="1487"/>
      <c r="H53" s="1487"/>
      <c r="I53" s="1487"/>
      <c r="J53" s="1487"/>
      <c r="K53" s="1487"/>
      <c r="L53" s="1490"/>
      <c r="M53" s="1492"/>
      <c r="N53" s="1492"/>
      <c r="O53" s="464"/>
      <c r="P53" s="1429"/>
      <c r="Q53" s="1430"/>
      <c r="R53" s="1429"/>
      <c r="S53" s="1435"/>
      <c r="T53" s="1438" t="s">
        <v>298</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8355" customFormat="1" customHeight="1" ht="1.05">
      <c r="A54" s="1488" t="s">
        <v>273</v>
      </c>
      <c r="B54" s="1488"/>
      <c r="C54" s="1488"/>
      <c r="D54" s="1488"/>
      <c r="E54" s="2403"/>
      <c r="F54" s="1488"/>
      <c r="G54" s="1488"/>
      <c r="H54" s="1488"/>
      <c r="I54" s="1488"/>
      <c r="J54" s="1488"/>
      <c r="K54" s="1488"/>
      <c r="L54" s="1494"/>
      <c r="M54" s="1492"/>
      <c r="N54" s="1492"/>
      <c r="O54" s="464"/>
      <c r="P54" s="493"/>
      <c r="Q54" s="1457"/>
      <c r="R54" s="493"/>
      <c r="S54" s="1435"/>
      <c r="T54" s="1438" t="s">
        <v>355</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8355" customFormat="1" customHeight="1" ht="1.05">
      <c r="A55" s="1488" t="s">
        <v>273</v>
      </c>
      <c r="B55" s="1488"/>
      <c r="C55" s="1488"/>
      <c r="D55" s="1488"/>
      <c r="E55" s="2402"/>
      <c r="F55" s="1488"/>
      <c r="G55" s="1488"/>
      <c r="H55" s="1488"/>
      <c r="I55" s="1488"/>
      <c r="J55" s="1488"/>
      <c r="K55" s="1488"/>
      <c r="L55" s="1494"/>
      <c r="M55" s="1492"/>
      <c r="N55" s="1492"/>
      <c r="O55" s="464"/>
      <c r="P55" s="493"/>
      <c r="Q55" s="1457"/>
      <c r="R55" s="493"/>
      <c r="S55" s="1435"/>
      <c r="T55" s="1438" t="s">
        <v>355</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8355"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356</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82</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9A4FCF-ECE5-0C9D-D883-540C6384E90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354" width="11.57421875" hidden="1" customWidth="1"/>
    <col min="2" max="2" style="8354" width="11.00390625" hidden="1" customWidth="1"/>
    <col min="3" max="3" style="8354" width="10.57421875" hidden="1"/>
    <col min="4" max="4" style="8354" width="12.8515625" hidden="1" customWidth="1"/>
    <col min="5" max="5" style="8354" width="10.00390625" hidden="1" customWidth="1"/>
    <col min="6" max="6" style="8354" width="8.7109375" hidden="1" customWidth="1"/>
    <col min="7" max="7" style="8354" width="7.57421875" hidden="1" customWidth="1"/>
    <col min="8" max="8" style="8354" width="11.421875" hidden="1" customWidth="1"/>
    <col min="9" max="9" style="8354" width="12.00390625" hidden="1" customWidth="1"/>
    <col min="10" max="10" style="8354" width="9.8515625" hidden="1" customWidth="1"/>
    <col min="11" max="11" style="8354" width="11.421875" hidden="1" customWidth="1"/>
    <col min="12" max="12" style="9204" width="19.140625" hidden="1" customWidth="1"/>
    <col min="13" max="14" style="9205" width="12.28125" hidden="1" customWidth="1"/>
    <col min="15" max="15" style="9205" width="23.421875" hidden="1" customWidth="1"/>
    <col min="16" max="16" style="9205" width="3.7109375" hidden="1" customWidth="1"/>
    <col min="17" max="17" style="9390" width="3.7109375" hidden="1" customWidth="1"/>
    <col min="18" max="18" style="9207" width="3.00390625" customWidth="1"/>
    <col min="19" max="19" style="9208" width="12.00390625" customWidth="1"/>
    <col min="20" max="20" style="8273" width="31.00390625" customWidth="1"/>
    <col min="21" max="21" style="8273" width="0.140625" customWidth="1"/>
    <col min="22" max="25" style="8273" width="21.7109375" hidden="1" customWidth="1"/>
    <col min="26" max="26" style="8273" width="11.7109375" hidden="1" customWidth="1"/>
    <col min="27" max="27" style="8273" width="3.7109375" hidden="1" customWidth="1"/>
    <col min="28" max="28" style="8273" width="11.7109375" hidden="1" customWidth="1"/>
    <col min="29" max="29" style="8273" width="8.57421875" hidden="1" customWidth="1"/>
    <col min="30" max="30" style="8273" width="3.7109375" customWidth="1"/>
    <col min="31" max="32" style="8273" width="3.00390625" customWidth="1"/>
    <col min="33" max="33" style="8273" width="24.00390625" customWidth="1"/>
    <col min="34" max="34" style="8273" width="3.7109375" customWidth="1"/>
    <col min="35" max="36" style="8273" width="3.00390625" customWidth="1"/>
    <col min="37" max="37" style="8273" width="24.00390625" customWidth="1"/>
    <col min="38" max="38" style="8273" width="3.7109375" customWidth="1"/>
    <col min="39" max="40" style="8273" width="3.00390625" customWidth="1"/>
    <col min="41" max="41" style="8273" width="18.00390625" customWidth="1"/>
    <col min="42" max="42" style="8273" width="3.7109375" customWidth="1"/>
    <col min="43" max="44" style="8273" width="3.00390625" customWidth="1"/>
    <col min="45" max="45" style="8273" width="18.00390625" customWidth="1"/>
    <col min="46" max="49" style="8273" width="21.00390625" customWidth="1"/>
    <col min="50" max="50" style="8273" width="11.00390625" customWidth="1"/>
    <col min="51" max="51" style="8273" width="3.7109375" customWidth="1"/>
    <col min="52" max="52" style="8273" width="11.00390625" customWidth="1"/>
    <col min="53" max="53" style="8273" width="8.57421875" hidden="1" customWidth="1"/>
    <col min="54" max="54" style="8273" width="4.00390625" customWidth="1"/>
    <col min="55" max="55" style="8273" width="115.00390625" customWidth="1"/>
    <col min="56" max="60" style="8355" width="10.00390625" customWidth="1"/>
    <col min="61" max="61" style="8273"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198</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525</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526</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606</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607</v>
      </c>
      <c r="BE4" s="613"/>
      <c r="BF4" s="613" t="str">
        <f>IF(T4="","",T4)</f>
        <v>Наименование централизованной системы холодного водоснабжения</v>
      </c>
      <c r="BG4" s="613"/>
      <c r="BH4" s="613"/>
      <c r="BI4" s="1268">
        <v>0</v>
      </c>
    </row>
    <row s="8355"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530</v>
      </c>
      <c r="BE5" s="613"/>
      <c r="BF5" s="613" t="str">
        <f>IF(T5="","",T5)</f>
        <v/>
      </c>
      <c r="BG5" s="613"/>
      <c r="BH5" s="613"/>
      <c r="BI5" s="624">
        <v>0</v>
      </c>
    </row>
    <row s="8355" customFormat="1" customHeight="1" ht="14.25" hidden="1">
      <c r="A6" s="1456"/>
      <c r="B6" s="1456"/>
      <c r="C6" s="1456"/>
      <c r="D6" s="1456"/>
      <c r="E6" s="2372"/>
      <c r="F6" s="2372"/>
      <c r="G6" s="2372"/>
      <c r="H6" s="2372"/>
      <c r="I6" s="2369" t="str">
        <f>S5&amp;".1"</f>
        <v>.1</v>
      </c>
      <c r="J6" s="1456"/>
      <c r="K6" s="1456"/>
      <c r="L6" s="1459" t="s">
        <v>531</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8355"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66</v>
      </c>
      <c r="AB8" s="1847"/>
      <c r="AC8" s="1572" t="s">
        <v>66</v>
      </c>
      <c r="AD8" s="2298" t="s">
        <v>66</v>
      </c>
      <c r="AE8" s="2439"/>
      <c r="AF8" s="2318">
        <v>1</v>
      </c>
      <c r="AG8" s="2476"/>
      <c r="AH8" s="2220" t="s">
        <v>66</v>
      </c>
      <c r="AI8" s="2439"/>
      <c r="AJ8" s="2318">
        <v>1</v>
      </c>
      <c r="AK8" s="2440" t="s">
        <v>28</v>
      </c>
      <c r="AL8" s="2220" t="s">
        <v>66</v>
      </c>
      <c r="AM8" s="2305"/>
      <c r="AN8" s="2318">
        <v>1</v>
      </c>
      <c r="AO8" s="2470"/>
      <c r="AP8" s="2471" t="s">
        <v>66</v>
      </c>
      <c r="AQ8" s="424"/>
      <c r="AR8" s="1576">
        <v>1</v>
      </c>
      <c r="AS8" s="1579" t="s">
        <v>28</v>
      </c>
      <c r="AT8" s="864"/>
      <c r="AU8" s="1370"/>
      <c r="AV8" s="864"/>
      <c r="AW8" s="1370"/>
      <c r="AX8" s="1847"/>
      <c r="AY8" s="1572" t="s">
        <v>66</v>
      </c>
      <c r="AZ8" s="1847"/>
      <c r="BA8" s="1572" t="s">
        <v>66</v>
      </c>
      <c r="BB8" s="1461"/>
      <c r="BC8" s="2366" t="s">
        <v>630</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631</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632</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633</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634</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593</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8355"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8355"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8355"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8355"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298</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8355"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355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66</v>
      </c>
      <c r="AZ20" s="1849"/>
      <c r="BA20" s="1573" t="s">
        <v>66</v>
      </c>
      <c r="BI20" s="1268">
        <v>0</v>
      </c>
    </row>
    <row customHeight="1" ht="14.25" hidden="1">
      <c r="BD21" s="609"/>
      <c r="BE21" s="609"/>
      <c r="BF21" s="609"/>
      <c r="BG21" s="609"/>
      <c r="BH21" s="609"/>
      <c r="BI21" s="1268">
        <v>0</v>
      </c>
    </row>
    <row customHeight="1" ht="14.25" hidden="1">
      <c r="O22" s="1480" t="s">
        <v>543</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9361" customFormat="1" customHeight="1" ht="14.25" hidden="1">
      <c r="M24" s="1621"/>
      <c r="N24" s="1621"/>
      <c r="O24" s="1622" t="s">
        <v>544</v>
      </c>
      <c r="P24" s="1621"/>
      <c r="Q24" s="1623"/>
      <c r="R24" s="1623"/>
      <c r="AA24" s="1620" t="s">
        <v>546</v>
      </c>
      <c r="AC24" s="1620" t="s">
        <v>547</v>
      </c>
      <c r="AD24" s="1620" t="s">
        <v>594</v>
      </c>
      <c r="AH24" s="1620" t="s">
        <v>594</v>
      </c>
      <c r="AK24" s="1620" t="s">
        <v>635</v>
      </c>
      <c r="AL24" s="1620" t="s">
        <v>594</v>
      </c>
      <c r="AP24" s="1620" t="s">
        <v>594</v>
      </c>
      <c r="AY24" s="1620" t="s">
        <v>546</v>
      </c>
      <c r="BA24" s="1620" t="s">
        <v>547</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МУП ЖКХ "Родник"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8491"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8491"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549</v>
      </c>
      <c r="T32" s="2363"/>
      <c r="U32" s="1485"/>
      <c r="V32" s="2377" t="str">
        <f>IF(TITLE_DATE_PR_CHANGE="",IF(TITLE_DATE_PR="","",TITLE_DATE_PR),TITLE_DATE_PR_CHANGE)</f>
        <v>45586</v>
      </c>
      <c r="W32" s="2377"/>
      <c r="X32" s="2377"/>
      <c r="Y32" s="2377"/>
      <c r="Z32" s="2377"/>
      <c r="AA32" s="2377"/>
      <c r="AB32" s="2377"/>
      <c r="AC32" s="439"/>
      <c r="AD32" s="2377" t="str">
        <f>IF(TITLE_DATE_PR_CHANGE="",IF(TITLE_DATE_PR="","",TITLE_DATE_PR),TITLE_DATE_PR_CHANGE)</f>
        <v>45586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8491"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550</v>
      </c>
      <c r="T33" s="2363"/>
      <c r="U33" s="1485"/>
      <c r="V33" s="2364" t="str">
        <f>IF(TITLE_NUMBER_PR_CHANGE="",IF(TITLE_NUMBER_PR="","",TITLE_NUMBER_PR),TITLE_NUMBER_PR_CHANGE)</f>
        <v>1577</v>
      </c>
      <c r="W33" s="2364"/>
      <c r="X33" s="2364"/>
      <c r="Y33" s="2364"/>
      <c r="Z33" s="2364"/>
      <c r="AA33" s="2364"/>
      <c r="AB33" s="2364"/>
      <c r="AC33" s="439"/>
      <c r="AD33" s="2364" t="str">
        <f>IF(TITLE_NUMBER_PR_CHANGE="",IF(TITLE_NUMBER_PR="","",TITLE_NUMBER_PR),TITLE_NUMBER_PR_CHANGE)</f>
        <v>1577</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8491"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8491" customFormat="1" customHeight="1" ht="18.75">
      <c r="A36" s="1481"/>
      <c r="B36" s="1481"/>
      <c r="C36" s="1481"/>
      <c r="D36" s="1481"/>
      <c r="E36" s="1481"/>
      <c r="F36" s="1481"/>
      <c r="G36" s="1481"/>
      <c r="H36" s="1481"/>
      <c r="I36" s="1481"/>
      <c r="J36" s="1481"/>
      <c r="K36" s="1481"/>
      <c r="L36" s="1482"/>
      <c r="M36" s="1481"/>
      <c r="N36" s="1481"/>
      <c r="O36" s="1481"/>
      <c r="P36" s="1481"/>
      <c r="Q36" s="1481"/>
      <c r="S36" s="2363" t="s">
        <v>549</v>
      </c>
      <c r="T36" s="2363"/>
      <c r="U36" s="1485"/>
      <c r="V36" s="2377" t="str">
        <f>IF(TITLE_DATE_PR_CHANGE="",IF(TITLE_DATE_PR="","",TITLE_DATE_PR),TITLE_DATE_PR_CHANGE)</f>
        <v>45586</v>
      </c>
      <c r="W36" s="2377"/>
      <c r="X36" s="2377"/>
      <c r="Y36" s="2377"/>
      <c r="Z36" s="2377"/>
      <c r="AA36" s="2377"/>
      <c r="AB36" s="2377"/>
      <c r="AC36" s="439"/>
      <c r="AD36" s="2377" t="str">
        <f>IF(TITLE_DATE_PR_CHANGE="",IF(TITLE_DATE_PR="","",TITLE_DATE_PR),TITLE_DATE_PR_CHANGE)</f>
        <v>45586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8491" customFormat="1" customHeight="1" ht="18.75">
      <c r="A37" s="1481"/>
      <c r="B37" s="1481"/>
      <c r="C37" s="1481"/>
      <c r="D37" s="1481"/>
      <c r="E37" s="1481"/>
      <c r="F37" s="1481"/>
      <c r="G37" s="1481"/>
      <c r="H37" s="1481"/>
      <c r="I37" s="1481"/>
      <c r="J37" s="1481"/>
      <c r="K37" s="1481"/>
      <c r="L37" s="1482"/>
      <c r="M37" s="1481"/>
      <c r="N37" s="1481"/>
      <c r="O37" s="1481"/>
      <c r="P37" s="1481"/>
      <c r="Q37" s="1481"/>
      <c r="S37" s="2363" t="s">
        <v>550</v>
      </c>
      <c r="T37" s="2363"/>
      <c r="U37" s="1485"/>
      <c r="V37" s="2364" t="str">
        <f>IF(TITLE_NUMBER_PR_CHANGE="",IF(TITLE_NUMBER_PR="","",TITLE_NUMBER_PR),TITLE_NUMBER_PR_CHANGE)</f>
        <v>1577</v>
      </c>
      <c r="W37" s="2364"/>
      <c r="X37" s="2364"/>
      <c r="Y37" s="2364"/>
      <c r="Z37" s="2364"/>
      <c r="AA37" s="2364"/>
      <c r="AB37" s="2364"/>
      <c r="AC37" s="439"/>
      <c r="AD37" s="2364" t="str">
        <f>IF(TITLE_NUMBER_PR_CHANGE="",IF(TITLE_NUMBER_PR="","",TITLE_NUMBER_PR),TITLE_NUMBER_PR_CHANGE)</f>
        <v>1577</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8491"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553</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553</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428</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429</v>
      </c>
      <c r="BI40" s="1268">
        <v>14</v>
      </c>
    </row>
    <row customHeight="1" ht="14.699999999999998">
      <c r="Q41" s="404"/>
      <c r="R41" s="489"/>
      <c r="S41" s="2386" t="s">
        <v>88</v>
      </c>
      <c r="T41" s="2322" t="s">
        <v>636</v>
      </c>
      <c r="U41" s="414"/>
      <c r="V41" s="2387" t="s">
        <v>555</v>
      </c>
      <c r="W41" s="2388"/>
      <c r="X41" s="2388"/>
      <c r="Y41" s="2388"/>
      <c r="Z41" s="2388"/>
      <c r="AA41" s="2388"/>
      <c r="AB41" s="2389"/>
      <c r="AC41" s="2390" t="s">
        <v>556</v>
      </c>
      <c r="AD41" s="2441" t="s">
        <v>637</v>
      </c>
      <c r="AE41" s="2404"/>
      <c r="AF41" s="2404"/>
      <c r="AG41" s="2442"/>
      <c r="AH41" s="2441" t="s">
        <v>638</v>
      </c>
      <c r="AI41" s="2404"/>
      <c r="AJ41" s="2404"/>
      <c r="AK41" s="2442"/>
      <c r="AL41" s="2441" t="s">
        <v>639</v>
      </c>
      <c r="AM41" s="2404"/>
      <c r="AN41" s="2404"/>
      <c r="AO41" s="2442"/>
      <c r="AP41" s="2441" t="s">
        <v>640</v>
      </c>
      <c r="AQ41" s="2404"/>
      <c r="AR41" s="2404"/>
      <c r="AS41" s="2442"/>
      <c r="AT41" s="2387" t="s">
        <v>555</v>
      </c>
      <c r="AU41" s="2388"/>
      <c r="AV41" s="2388"/>
      <c r="AW41" s="2388"/>
      <c r="AX41" s="2388"/>
      <c r="AY41" s="2388"/>
      <c r="AZ41" s="2389"/>
      <c r="BA41" s="2390" t="s">
        <v>556</v>
      </c>
      <c r="BB41" s="2393" t="s">
        <v>558</v>
      </c>
      <c r="BC41" s="2240"/>
      <c r="BI41" s="1268">
        <v>14</v>
      </c>
    </row>
    <row customHeight="1" ht="35.699999999999996">
      <c r="Q42" s="404"/>
      <c r="R42" s="489"/>
      <c r="S42" s="2386"/>
      <c r="T42" s="2322"/>
      <c r="U42" s="1144"/>
      <c r="V42" s="2305" t="s">
        <v>641</v>
      </c>
      <c r="W42" s="2306"/>
      <c r="X42" s="2305" t="s">
        <v>642</v>
      </c>
      <c r="Y42" s="2306"/>
      <c r="Z42" s="2407" t="s">
        <v>643</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641</v>
      </c>
      <c r="AU42" s="2306"/>
      <c r="AV42" s="2305" t="s">
        <v>642</v>
      </c>
      <c r="AW42" s="2306"/>
      <c r="AX42" s="2407" t="s">
        <v>643</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210</v>
      </c>
      <c r="C44" s="1483" t="s">
        <v>211</v>
      </c>
      <c r="D44" s="1483" t="s">
        <v>212</v>
      </c>
      <c r="E44" s="1477" t="s">
        <v>563</v>
      </c>
      <c r="F44" s="1477" t="s">
        <v>564</v>
      </c>
      <c r="G44" s="1477" t="s">
        <v>565</v>
      </c>
      <c r="H44" s="1477" t="s">
        <v>566</v>
      </c>
      <c r="I44" s="1477" t="s">
        <v>567</v>
      </c>
      <c r="J44" s="1477" t="s">
        <v>568</v>
      </c>
      <c r="K44" s="1477" t="s">
        <v>569</v>
      </c>
      <c r="L44" s="1477" t="s">
        <v>544</v>
      </c>
      <c r="Q44" s="404"/>
      <c r="R44" s="489"/>
      <c r="S44" s="2386"/>
      <c r="T44" s="2322"/>
      <c r="U44" s="415"/>
      <c r="V44" s="1561" t="s">
        <v>603</v>
      </c>
      <c r="W44" s="1561" t="s">
        <v>604</v>
      </c>
      <c r="X44" s="1561" t="s">
        <v>603</v>
      </c>
      <c r="Y44" s="1561" t="s">
        <v>604</v>
      </c>
      <c r="Z44" s="1568" t="s">
        <v>572</v>
      </c>
      <c r="AA44" s="2383" t="s">
        <v>573</v>
      </c>
      <c r="AB44" s="2384"/>
      <c r="AC44" s="2392"/>
      <c r="AD44" s="2446"/>
      <c r="AE44" s="2447"/>
      <c r="AF44" s="2447"/>
      <c r="AG44" s="2448"/>
      <c r="AH44" s="2446"/>
      <c r="AI44" s="2447"/>
      <c r="AJ44" s="2447"/>
      <c r="AK44" s="2448"/>
      <c r="AL44" s="2446"/>
      <c r="AM44" s="2447"/>
      <c r="AN44" s="2447"/>
      <c r="AO44" s="2448"/>
      <c r="AP44" s="2446"/>
      <c r="AQ44" s="2447"/>
      <c r="AR44" s="2447"/>
      <c r="AS44" s="2448"/>
      <c r="AT44" s="1561" t="s">
        <v>603</v>
      </c>
      <c r="AU44" s="1561" t="s">
        <v>604</v>
      </c>
      <c r="AV44" s="1561" t="s">
        <v>603</v>
      </c>
      <c r="AW44" s="1561" t="s">
        <v>604</v>
      </c>
      <c r="AX44" s="1568" t="s">
        <v>572</v>
      </c>
      <c r="AY44" s="2383" t="s">
        <v>573</v>
      </c>
      <c r="AZ44" s="2384"/>
      <c r="BA44" s="2392"/>
      <c r="BB44" s="2395"/>
      <c r="BC44" s="2240"/>
      <c r="BI44" s="1268">
        <v>14</v>
      </c>
    </row>
    <row s="8962"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187</v>
      </c>
      <c r="T45" s="1368" t="s">
        <v>104</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374</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198</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374</v>
      </c>
      <c r="B47" s="1476" t="s">
        <v>375</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525</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526</v>
      </c>
      <c r="BE47" s="613"/>
      <c r="BF47" s="613" t="str">
        <f>IF(T47="","",T47)</f>
        <v>Территория действия тарифа</v>
      </c>
      <c r="BG47" s="613"/>
      <c r="BH47" s="613"/>
      <c r="BI47" s="1268">
        <v>21</v>
      </c>
    </row>
    <row customHeight="1" ht="43.050000000000004">
      <c r="A48" s="1476" t="s">
        <v>374</v>
      </c>
      <c r="B48" s="1476" t="s">
        <v>375</v>
      </c>
      <c r="C48" s="1476" t="s">
        <v>376</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606</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607</v>
      </c>
      <c r="BE48" s="613"/>
      <c r="BF48" s="613" t="str">
        <f>IF(T48="","",T48)</f>
        <v>Наименование централизованной системы холодного водоснабжения</v>
      </c>
      <c r="BG48" s="613"/>
      <c r="BH48" s="613"/>
      <c r="BI48" s="1268">
        <v>41</v>
      </c>
    </row>
    <row s="8355" customFormat="1" customHeight="1" ht="0">
      <c r="A49" s="1456" t="s">
        <v>374</v>
      </c>
      <c r="B49" s="1456" t="s">
        <v>375</v>
      </c>
      <c r="C49" s="1456" t="s">
        <v>376</v>
      </c>
      <c r="D49" s="1456" t="s">
        <v>644</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530</v>
      </c>
      <c r="BE49" s="613"/>
      <c r="BF49" s="613" t="str">
        <f>IF(T49="","",T49)</f>
        <v/>
      </c>
      <c r="BG49" s="613"/>
      <c r="BH49" s="613"/>
      <c r="BI49" s="624">
        <v>0</v>
      </c>
    </row>
    <row s="8355" customFormat="1" customHeight="1" ht="0">
      <c r="A50" s="1456" t="s">
        <v>374</v>
      </c>
      <c r="B50" s="1456" t="s">
        <v>375</v>
      </c>
      <c r="C50" s="1456" t="s">
        <v>376</v>
      </c>
      <c r="D50" s="1456" t="s">
        <v>644</v>
      </c>
      <c r="E50" s="2372"/>
      <c r="F50" s="2372"/>
      <c r="G50" s="2372"/>
      <c r="H50" s="2372"/>
      <c r="I50" s="2369" t="str">
        <f>S49&amp;".1"</f>
        <v>.1</v>
      </c>
      <c r="J50" s="1456"/>
      <c r="K50" s="1456"/>
      <c r="L50" s="1459" t="s">
        <v>531</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8355" customFormat="1" customHeight="1" ht="0">
      <c r="A51" s="1456" t="s">
        <v>374</v>
      </c>
      <c r="B51" s="1456" t="s">
        <v>375</v>
      </c>
      <c r="C51" s="1456" t="s">
        <v>376</v>
      </c>
      <c r="D51" s="1456" t="s">
        <v>644</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374</v>
      </c>
      <c r="B52" s="1476" t="s">
        <v>375</v>
      </c>
      <c r="C52" s="1476" t="s">
        <v>376</v>
      </c>
      <c r="D52" s="1476" t="s">
        <v>644</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66</v>
      </c>
      <c r="AB52" s="1847"/>
      <c r="AC52" s="157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76">
        <v>1</v>
      </c>
      <c r="AS52" s="1579" t="s">
        <v>28</v>
      </c>
      <c r="AT52" s="864"/>
      <c r="AU52" s="1370"/>
      <c r="AV52" s="864"/>
      <c r="AW52" s="1370"/>
      <c r="AX52" s="1847"/>
      <c r="AY52" s="1572" t="s">
        <v>66</v>
      </c>
      <c r="AZ52" s="1847"/>
      <c r="BA52" s="1572" t="s">
        <v>66</v>
      </c>
      <c r="BB52" s="1461"/>
      <c r="BC52" s="2366" t="s">
        <v>630</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631</v>
      </c>
      <c r="AT53" s="1506"/>
      <c r="AU53" s="1609"/>
      <c r="AV53" s="1506"/>
      <c r="AW53" s="1609"/>
      <c r="AX53" s="1506"/>
      <c r="AY53" s="1506"/>
      <c r="AZ53" s="1506"/>
      <c r="BA53" s="1506"/>
      <c r="BB53" s="1510"/>
      <c r="BC53" s="2367"/>
      <c r="BE53" s="613"/>
      <c r="BF53" s="613"/>
      <c r="BG53" s="613"/>
      <c r="BH53" s="613"/>
      <c r="BI53" s="1268">
        <v>11</v>
      </c>
    </row>
    <row customHeight="1" ht="11.549999999999999">
      <c r="A54" s="1476" t="s">
        <v>374</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632</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374</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633</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374</v>
      </c>
      <c r="B56" s="1476" t="s">
        <v>375</v>
      </c>
      <c r="C56" s="1476" t="s">
        <v>376</v>
      </c>
      <c r="D56" s="1476" t="s">
        <v>644</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634</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374</v>
      </c>
      <c r="B57" s="1476" t="s">
        <v>375</v>
      </c>
      <c r="C57" s="1476" t="s">
        <v>376</v>
      </c>
      <c r="D57" s="1476" t="s">
        <v>644</v>
      </c>
      <c r="E57" s="2372"/>
      <c r="F57" s="2372"/>
      <c r="G57" s="2372"/>
      <c r="H57" s="2372"/>
      <c r="I57" s="2399"/>
      <c r="J57" s="2369"/>
      <c r="K57" s="1476"/>
      <c r="L57" s="1477"/>
      <c r="P57" s="2370"/>
      <c r="Q57" s="2370"/>
      <c r="R57" s="469"/>
      <c r="S57" s="1391"/>
      <c r="T57" s="400" t="s">
        <v>593</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8355" customFormat="1" customHeight="1" ht="0">
      <c r="A58" s="1456" t="s">
        <v>374</v>
      </c>
      <c r="B58" s="1456" t="s">
        <v>375</v>
      </c>
      <c r="C58" s="1456" t="s">
        <v>376</v>
      </c>
      <c r="D58" s="1456" t="s">
        <v>644</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8355" customFormat="1" customHeight="1" ht="0">
      <c r="A59" s="1456" t="s">
        <v>374</v>
      </c>
      <c r="B59" s="1456" t="s">
        <v>375</v>
      </c>
      <c r="C59" s="1456" t="s">
        <v>376</v>
      </c>
      <c r="D59" s="1456" t="s">
        <v>644</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8355" customFormat="1" customHeight="1" ht="0">
      <c r="A60" s="1456" t="s">
        <v>374</v>
      </c>
      <c r="B60" s="1456" t="s">
        <v>375</v>
      </c>
      <c r="C60" s="1456" t="s">
        <v>376</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8355" customFormat="1" customHeight="1" ht="0">
      <c r="A61" s="1456" t="s">
        <v>374</v>
      </c>
      <c r="B61" s="1456" t="s">
        <v>375</v>
      </c>
      <c r="C61" s="1427"/>
      <c r="D61" s="1427"/>
      <c r="E61" s="2372"/>
      <c r="F61" s="2371"/>
      <c r="G61" s="1427"/>
      <c r="H61" s="1427"/>
      <c r="I61" s="1427"/>
      <c r="J61" s="1427"/>
      <c r="K61" s="1427"/>
      <c r="L61" s="1577"/>
      <c r="M61" s="1434"/>
      <c r="N61" s="1434"/>
      <c r="P61" s="1429"/>
      <c r="Q61" s="1430"/>
      <c r="R61" s="1429"/>
      <c r="S61" s="1435"/>
      <c r="T61" s="1438" t="s">
        <v>298</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8355" customFormat="1" customHeight="1" ht="0">
      <c r="A62" s="1456" t="s">
        <v>374</v>
      </c>
      <c r="B62" s="1456"/>
      <c r="C62" s="1456"/>
      <c r="D62" s="1456"/>
      <c r="E62" s="2371"/>
      <c r="F62" s="1456"/>
      <c r="G62" s="1456"/>
      <c r="H62" s="1456"/>
      <c r="I62" s="1456"/>
      <c r="J62" s="1456"/>
      <c r="K62" s="1456"/>
      <c r="L62" s="1459"/>
      <c r="M62" s="1434"/>
      <c r="N62" s="1434"/>
      <c r="O62" s="631"/>
      <c r="P62" s="493"/>
      <c r="Q62" s="1457"/>
      <c r="R62" s="493"/>
      <c r="S62" s="1435"/>
      <c r="T62" s="1438" t="s">
        <v>355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8355"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356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7CB43F-0C2A-9321-C78E-C1810A1F9F9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354" width="10.57421875" hidden="1"/>
    <col min="2" max="2" style="8354" width="11.00390625" hidden="1" customWidth="1"/>
    <col min="3" max="3" style="8354" width="10.57421875" hidden="1"/>
    <col min="4" max="4" style="8354" width="11.8515625" hidden="1" customWidth="1"/>
    <col min="5" max="5" style="8354" width="10.00390625" hidden="1" customWidth="1"/>
    <col min="6" max="6" style="8354" width="8.7109375" hidden="1" customWidth="1"/>
    <col min="7" max="7" style="8354" width="7.57421875" hidden="1" customWidth="1"/>
    <col min="8" max="8" style="8354" width="11.421875" hidden="1" customWidth="1"/>
    <col min="9" max="9" style="8354" width="14.140625" hidden="1" customWidth="1"/>
    <col min="10" max="10" style="8354" width="9.8515625" hidden="1" customWidth="1"/>
    <col min="11" max="11" style="8354" width="14.7109375" hidden="1" customWidth="1"/>
    <col min="12" max="12" style="9204" width="19.140625" hidden="1" customWidth="1"/>
    <col min="13" max="14" style="9205" width="12.28125" hidden="1" customWidth="1"/>
    <col min="15" max="15" style="9205" width="23.421875" hidden="1" customWidth="1"/>
    <col min="16" max="16" style="9206" width="3.00390625" customWidth="1"/>
    <col min="17" max="18" style="9207" width="3.00390625" customWidth="1"/>
    <col min="19" max="19" style="9208" width="12.00390625" customWidth="1"/>
    <col min="20" max="20" style="8273" width="35.00390625" customWidth="1"/>
    <col min="21" max="21" style="8273" width="0.140625" customWidth="1"/>
    <col min="22" max="24" style="8273" width="24.7109375" hidden="1" customWidth="1"/>
    <col min="25" max="25" style="8273" width="11.7109375" hidden="1" customWidth="1"/>
    <col min="26" max="26" style="8273" width="3.7109375" hidden="1" customWidth="1"/>
    <col min="27" max="27" style="8273" width="11.7109375" hidden="1" customWidth="1"/>
    <col min="28" max="28" style="8273" width="8.57421875" hidden="1" customWidth="1"/>
    <col min="29" max="29" style="8273" width="24.7109375" customWidth="1"/>
    <col min="30" max="31" style="8273" width="24.00390625" customWidth="1"/>
    <col min="32" max="32" style="8273" width="11.00390625" customWidth="1"/>
    <col min="33" max="33" style="8273" width="3.7109375" customWidth="1"/>
    <col min="34" max="34" style="8273" width="11.00390625" customWidth="1"/>
    <col min="35" max="35" style="8273" width="8.57421875" hidden="1" customWidth="1"/>
    <col min="36" max="36" style="8273" width="4.00390625" customWidth="1"/>
    <col min="37" max="37" style="8273" width="115.00390625" customWidth="1"/>
    <col min="38" max="42" style="8355" width="10.00390625" customWidth="1"/>
    <col min="43" max="43" style="827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198</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525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526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645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646</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608</v>
      </c>
      <c r="U5" s="413"/>
      <c r="V5" s="2463"/>
      <c r="W5" s="2464"/>
      <c r="X5" s="2464"/>
      <c r="Y5" s="2464"/>
      <c r="Z5" s="2464"/>
      <c r="AA5" s="2464"/>
      <c r="AB5" s="2465"/>
      <c r="AC5" s="2466"/>
      <c r="AD5" s="2467"/>
      <c r="AE5" s="2467"/>
      <c r="AF5" s="2467"/>
      <c r="AG5" s="2467"/>
      <c r="AH5" s="2467"/>
      <c r="AI5" s="2467"/>
      <c r="AJ5" s="2468"/>
      <c r="AK5" s="1371" t="s">
        <v>609</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534</v>
      </c>
      <c r="P6" s="2370"/>
      <c r="Q6" s="2370">
        <v>1</v>
      </c>
      <c r="R6" s="470"/>
      <c r="S6" s="1606">
        <f>$J6</f>
      </c>
      <c r="T6" s="399" t="s">
        <v>535</v>
      </c>
      <c r="U6" s="413"/>
      <c r="V6" s="2358"/>
      <c r="W6" s="2359"/>
      <c r="X6" s="2359"/>
      <c r="Y6" s="2359"/>
      <c r="Z6" s="2359"/>
      <c r="AA6" s="2359"/>
      <c r="AB6" s="2360"/>
      <c r="AC6" s="2358"/>
      <c r="AD6" s="2359"/>
      <c r="AE6" s="2359"/>
      <c r="AF6" s="2359"/>
      <c r="AG6" s="2359"/>
      <c r="AH6" s="2359"/>
      <c r="AI6" s="2359"/>
      <c r="AJ6" s="2360"/>
      <c r="AK6" s="1420" t="s">
        <v>610</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611</v>
      </c>
      <c r="U9" s="480"/>
      <c r="V9" s="480"/>
      <c r="W9" s="480"/>
      <c r="X9" s="480"/>
      <c r="Y9" s="480"/>
      <c r="Z9" s="480"/>
      <c r="AA9" s="480"/>
      <c r="AB9" s="480"/>
      <c r="AC9" s="480"/>
      <c r="AD9" s="480"/>
      <c r="AE9" s="480"/>
      <c r="AF9" s="480"/>
      <c r="AG9" s="480"/>
      <c r="AH9" s="480"/>
      <c r="AI9" s="480"/>
      <c r="AJ9" s="480"/>
      <c r="AK9" s="1371" t="s">
        <v>612</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540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613</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8355"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298</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835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355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8354" customFormat="1" customHeight="1" ht="22.5" hidden="1">
      <c r="L18" s="1591"/>
      <c r="M18" s="1475"/>
      <c r="N18" s="1475"/>
      <c r="O18" s="1480" t="s">
        <v>543</v>
      </c>
      <c r="P18" s="1475"/>
      <c r="Q18" s="1484"/>
      <c r="R18" s="1484"/>
      <c r="S18" s="842"/>
      <c r="Y18" s="1480"/>
      <c r="AA18" s="1480"/>
      <c r="AB18" s="1479"/>
      <c r="AF18" s="1480"/>
      <c r="AH18" s="1480"/>
      <c r="AI18" s="1479"/>
      <c r="AL18" s="624"/>
      <c r="AM18" s="624"/>
      <c r="AN18" s="624"/>
      <c r="AO18" s="624"/>
      <c r="AP18" s="624"/>
      <c r="AQ18" s="1273">
        <v>0</v>
      </c>
    </row>
    <row s="8354" customFormat="1" customHeight="1" ht="14.25" hidden="1">
      <c r="L19" s="1591"/>
      <c r="M19" s="1475"/>
      <c r="N19" s="1475"/>
      <c r="O19" s="1475"/>
      <c r="P19" s="1475"/>
      <c r="Q19" s="1484"/>
      <c r="R19" s="1484"/>
      <c r="S19" s="842"/>
      <c r="AB19" s="1479"/>
      <c r="AI19" s="1479"/>
      <c r="AL19" s="624"/>
      <c r="AM19" s="624"/>
      <c r="AN19" s="624"/>
      <c r="AO19" s="624"/>
      <c r="AP19" s="624"/>
      <c r="AQ19" s="1273">
        <v>0</v>
      </c>
    </row>
    <row s="8354" customFormat="1" customHeight="1" ht="12" hidden="1">
      <c r="L20" s="1591"/>
      <c r="M20" s="1475"/>
      <c r="N20" s="1475"/>
      <c r="O20" s="1477" t="s">
        <v>544</v>
      </c>
      <c r="P20" s="1475"/>
      <c r="Q20" s="1555"/>
      <c r="R20" s="1555"/>
      <c r="S20" s="842"/>
      <c r="T20" s="1273" t="s">
        <v>545</v>
      </c>
      <c r="Z20" s="299" t="s">
        <v>546</v>
      </c>
      <c r="AB20" s="299" t="s">
        <v>547</v>
      </c>
      <c r="AC20" s="1273" t="s">
        <v>545</v>
      </c>
      <c r="AG20" s="299" t="s">
        <v>548</v>
      </c>
      <c r="AI20" s="299" t="s">
        <v>547</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МУП ЖКХ "Родник"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8491"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8491" customFormat="1" customHeight="1" ht="18.75" hidden="1">
      <c r="A28" s="1481"/>
      <c r="B28" s="1481"/>
      <c r="C28" s="1481"/>
      <c r="D28" s="1481"/>
      <c r="E28" s="1481"/>
      <c r="F28" s="1481"/>
      <c r="G28" s="1481"/>
      <c r="H28" s="1481"/>
      <c r="I28" s="1481"/>
      <c r="J28" s="1481"/>
      <c r="K28" s="1481"/>
      <c r="L28" s="1482"/>
      <c r="M28" s="1481"/>
      <c r="N28" s="1481"/>
      <c r="O28" s="1481"/>
      <c r="S28" s="2363" t="s">
        <v>549</v>
      </c>
      <c r="T28" s="2363"/>
      <c r="U28" s="1485"/>
      <c r="V28" s="2377" t="str">
        <f>IF(TITLE_DATE_PR_CHANGE="",IF(TITLE_DATE_PR="","",TITLE_DATE_PR),TITLE_DATE_PR_CHANGE)</f>
        <v>45586</v>
      </c>
      <c r="W28" s="2377"/>
      <c r="X28" s="2377"/>
      <c r="Y28" s="2377"/>
      <c r="Z28" s="2377"/>
      <c r="AA28" s="2377"/>
      <c r="AB28" s="439"/>
      <c r="AC28" s="2377" t="str">
        <f>IF(TITLE_DATE_PR_CHANGE="",IF(TITLE_DATE_PR="","",TITLE_DATE_PR),TITLE_DATE_PR_CHANGE)</f>
        <v>45586</v>
      </c>
      <c r="AD28" s="2377"/>
      <c r="AE28" s="2377"/>
      <c r="AF28" s="2377"/>
      <c r="AG28" s="2377"/>
      <c r="AH28" s="2377"/>
      <c r="AI28" s="439"/>
      <c r="AJ28" s="439"/>
      <c r="AK28" s="393"/>
      <c r="AL28" s="481"/>
      <c r="AM28" s="481"/>
      <c r="AN28" s="481"/>
      <c r="AO28" s="481"/>
      <c r="AP28" s="481"/>
      <c r="AQ28" s="531">
        <v>0</v>
      </c>
    </row>
    <row s="8491" customFormat="1" customHeight="1" ht="18.75" hidden="1">
      <c r="A29" s="1481"/>
      <c r="B29" s="1481"/>
      <c r="C29" s="1481"/>
      <c r="D29" s="1481"/>
      <c r="E29" s="1481"/>
      <c r="F29" s="1481"/>
      <c r="G29" s="1481"/>
      <c r="H29" s="1481"/>
      <c r="I29" s="1481"/>
      <c r="J29" s="1481"/>
      <c r="K29" s="1481"/>
      <c r="L29" s="1482"/>
      <c r="M29" s="1481"/>
      <c r="N29" s="1481"/>
      <c r="O29" s="1481"/>
      <c r="S29" s="2363" t="s">
        <v>550</v>
      </c>
      <c r="T29" s="2363"/>
      <c r="U29" s="1485"/>
      <c r="V29" s="2364" t="str">
        <f>IF(TITLE_NUMBER_PR_CHANGE="",IF(TITLE_NUMBER_PR="","",TITLE_NUMBER_PR),TITLE_NUMBER_PR_CHANGE)</f>
        <v>1577</v>
      </c>
      <c r="W29" s="2364"/>
      <c r="X29" s="2364"/>
      <c r="Y29" s="2364"/>
      <c r="Z29" s="2364"/>
      <c r="AA29" s="2364"/>
      <c r="AB29" s="439"/>
      <c r="AC29" s="2364" t="str">
        <f>IF(TITLE_NUMBER_PR_CHANGE="",IF(TITLE_NUMBER_PR="","",TITLE_NUMBER_PR),TITLE_NUMBER_PR_CHANGE)</f>
        <v>1577</v>
      </c>
      <c r="AD29" s="2364"/>
      <c r="AE29" s="2364"/>
      <c r="AF29" s="2364"/>
      <c r="AG29" s="2364"/>
      <c r="AH29" s="2364"/>
      <c r="AI29" s="439"/>
      <c r="AJ29" s="439"/>
      <c r="AK29" s="393"/>
      <c r="AL29" s="481"/>
      <c r="AM29" s="481"/>
      <c r="AN29" s="481"/>
      <c r="AO29" s="481"/>
      <c r="AP29" s="481"/>
      <c r="AQ29" s="531">
        <v>0</v>
      </c>
    </row>
    <row s="8491"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8491" customFormat="1" customHeight="1" ht="18.75">
      <c r="A32" s="1481"/>
      <c r="B32" s="1481"/>
      <c r="C32" s="1481"/>
      <c r="D32" s="1481"/>
      <c r="E32" s="1481"/>
      <c r="F32" s="1481"/>
      <c r="G32" s="1481"/>
      <c r="H32" s="1481"/>
      <c r="I32" s="1481"/>
      <c r="J32" s="1481"/>
      <c r="K32" s="1481"/>
      <c r="L32" s="1482"/>
      <c r="M32" s="1481"/>
      <c r="N32" s="1481"/>
      <c r="O32" s="1481"/>
      <c r="S32" s="2363" t="s">
        <v>551</v>
      </c>
      <c r="T32" s="2363"/>
      <c r="U32" s="1485"/>
      <c r="V32" s="2377" t="str">
        <f>IF(TITLE_DATE_PR_CHANGE="",IF(TITLE_DATE_PR="","",TITLE_DATE_PR),TITLE_DATE_PR_CHANGE)</f>
        <v>45586</v>
      </c>
      <c r="W32" s="2377"/>
      <c r="X32" s="2377"/>
      <c r="Y32" s="2377"/>
      <c r="Z32" s="2377"/>
      <c r="AA32" s="2377"/>
      <c r="AB32" s="439"/>
      <c r="AC32" s="2377" t="str">
        <f>IF(TITLE_DATE_PR_CHANGE="",IF(TITLE_DATE_PR="","",TITLE_DATE_PR),TITLE_DATE_PR_CHANGE)</f>
        <v>45586</v>
      </c>
      <c r="AD32" s="2377"/>
      <c r="AE32" s="2377"/>
      <c r="AF32" s="2377"/>
      <c r="AG32" s="2377"/>
      <c r="AH32" s="2377"/>
      <c r="AI32" s="439"/>
      <c r="AJ32" s="439"/>
      <c r="AK32" s="393"/>
      <c r="AL32" s="481"/>
      <c r="AM32" s="481"/>
      <c r="AN32" s="481"/>
      <c r="AO32" s="481"/>
      <c r="AP32" s="481"/>
      <c r="AQ32" s="531">
        <v>0</v>
      </c>
    </row>
    <row s="8491" customFormat="1" customHeight="1" ht="18.75">
      <c r="A33" s="1481"/>
      <c r="B33" s="1481"/>
      <c r="C33" s="1481"/>
      <c r="D33" s="1481"/>
      <c r="E33" s="1481"/>
      <c r="F33" s="1481"/>
      <c r="G33" s="1481"/>
      <c r="H33" s="1481"/>
      <c r="I33" s="1481"/>
      <c r="J33" s="1481"/>
      <c r="K33" s="1481"/>
      <c r="L33" s="1482"/>
      <c r="M33" s="1481"/>
      <c r="N33" s="1481"/>
      <c r="O33" s="1481"/>
      <c r="S33" s="2363" t="s">
        <v>552</v>
      </c>
      <c r="T33" s="2363"/>
      <c r="U33" s="1485"/>
      <c r="V33" s="2364" t="str">
        <f>IF(TITLE_NUMBER_PR_CHANGE="",IF(TITLE_NUMBER_PR="","",TITLE_NUMBER_PR),TITLE_NUMBER_PR_CHANGE)</f>
        <v>1577</v>
      </c>
      <c r="W33" s="2364"/>
      <c r="X33" s="2364"/>
      <c r="Y33" s="2364"/>
      <c r="Z33" s="2364"/>
      <c r="AA33" s="2364"/>
      <c r="AB33" s="439"/>
      <c r="AC33" s="2364" t="str">
        <f>IF(TITLE_NUMBER_PR_CHANGE="",IF(TITLE_NUMBER_PR="","",TITLE_NUMBER_PR),TITLE_NUMBER_PR_CHANGE)</f>
        <v>1577</v>
      </c>
      <c r="AD33" s="2364"/>
      <c r="AE33" s="2364"/>
      <c r="AF33" s="2364"/>
      <c r="AG33" s="2364"/>
      <c r="AH33" s="2364"/>
      <c r="AI33" s="439"/>
      <c r="AJ33" s="439"/>
      <c r="AK33" s="393"/>
      <c r="AL33" s="481"/>
      <c r="AM33" s="481"/>
      <c r="AN33" s="481"/>
      <c r="AO33" s="481"/>
      <c r="AP33" s="481"/>
      <c r="AQ33" s="531">
        <v>0</v>
      </c>
    </row>
    <row s="8491"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553</v>
      </c>
      <c r="AC34" s="439"/>
      <c r="AD34" s="439"/>
      <c r="AE34" s="439"/>
      <c r="AF34" s="439"/>
      <c r="AG34" s="439"/>
      <c r="AH34" s="439"/>
      <c r="AI34" s="391" t="s">
        <v>553</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428</v>
      </c>
      <c r="T36" s="2240"/>
      <c r="U36" s="2240"/>
      <c r="V36" s="2240"/>
      <c r="W36" s="2240"/>
      <c r="X36" s="2240"/>
      <c r="Y36" s="2240"/>
      <c r="Z36" s="2240"/>
      <c r="AA36" s="2240"/>
      <c r="AB36" s="2240"/>
      <c r="AC36" s="2240"/>
      <c r="AD36" s="2240"/>
      <c r="AE36" s="2240"/>
      <c r="AF36" s="2240"/>
      <c r="AG36" s="2240"/>
      <c r="AH36" s="2240"/>
      <c r="AI36" s="2240"/>
      <c r="AJ36" s="2240"/>
      <c r="AK36" s="2240" t="s">
        <v>429</v>
      </c>
      <c r="AQ36" s="1268">
        <v>14</v>
      </c>
    </row>
    <row customHeight="1" ht="14.699999999999998">
      <c r="Q37" s="489"/>
      <c r="R37" s="489"/>
      <c r="S37" s="2386" t="s">
        <v>88</v>
      </c>
      <c r="T37" s="2322" t="s">
        <v>554</v>
      </c>
      <c r="U37" s="414"/>
      <c r="V37" s="2387" t="s">
        <v>555</v>
      </c>
      <c r="W37" s="2388"/>
      <c r="X37" s="2388"/>
      <c r="Y37" s="2388"/>
      <c r="Z37" s="2388"/>
      <c r="AA37" s="2389"/>
      <c r="AB37" s="2390" t="s">
        <v>556</v>
      </c>
      <c r="AC37" s="2387" t="s">
        <v>555</v>
      </c>
      <c r="AD37" s="2388"/>
      <c r="AE37" s="2388"/>
      <c r="AF37" s="2388"/>
      <c r="AG37" s="2388"/>
      <c r="AH37" s="2389"/>
      <c r="AI37" s="2390" t="s">
        <v>557</v>
      </c>
      <c r="AJ37" s="2393" t="s">
        <v>558</v>
      </c>
      <c r="AK37" s="2240"/>
      <c r="AQ37" s="1268">
        <v>14</v>
      </c>
    </row>
    <row customHeight="1" ht="35.699999999999996">
      <c r="Q38" s="489"/>
      <c r="R38" s="489"/>
      <c r="S38" s="2386"/>
      <c r="T38" s="2322"/>
      <c r="U38" s="1144"/>
      <c r="V38" s="1596" t="s">
        <v>614</v>
      </c>
      <c r="W38" s="2375" t="s">
        <v>561</v>
      </c>
      <c r="X38" s="2376"/>
      <c r="Y38" s="2375" t="s">
        <v>562</v>
      </c>
      <c r="Z38" s="2382"/>
      <c r="AA38" s="2376"/>
      <c r="AB38" s="2391"/>
      <c r="AC38" s="1596" t="s">
        <v>614</v>
      </c>
      <c r="AD38" s="2375" t="s">
        <v>561</v>
      </c>
      <c r="AE38" s="2376"/>
      <c r="AF38" s="2375" t="s">
        <v>562</v>
      </c>
      <c r="AG38" s="2382"/>
      <c r="AH38" s="2376"/>
      <c r="AI38" s="2391"/>
      <c r="AJ38" s="2394"/>
      <c r="AK38" s="2240"/>
      <c r="AQ38" s="1268">
        <v>34</v>
      </c>
    </row>
    <row customHeight="1" ht="90.3">
      <c r="A39" s="1483"/>
      <c r="B39" s="1483" t="s">
        <v>210</v>
      </c>
      <c r="C39" s="1483" t="s">
        <v>211</v>
      </c>
      <c r="D39" s="1483" t="s">
        <v>212</v>
      </c>
      <c r="E39" s="1477" t="s">
        <v>563</v>
      </c>
      <c r="F39" s="1477" t="s">
        <v>564</v>
      </c>
      <c r="G39" s="1477" t="s">
        <v>565</v>
      </c>
      <c r="H39" s="1477"/>
      <c r="I39" s="1477" t="s">
        <v>615</v>
      </c>
      <c r="J39" s="1477" t="s">
        <v>568</v>
      </c>
      <c r="K39" s="1477" t="s">
        <v>616</v>
      </c>
      <c r="L39" s="1477" t="s">
        <v>544</v>
      </c>
      <c r="Q39" s="489"/>
      <c r="R39" s="489"/>
      <c r="S39" s="2386"/>
      <c r="T39" s="2322"/>
      <c r="U39" s="415"/>
      <c r="V39" s="1596" t="s">
        <v>647</v>
      </c>
      <c r="W39" s="1335" t="s">
        <v>648</v>
      </c>
      <c r="X39" s="1335" t="s">
        <v>619</v>
      </c>
      <c r="Y39" s="1602" t="s">
        <v>572</v>
      </c>
      <c r="Z39" s="2383" t="s">
        <v>573</v>
      </c>
      <c r="AA39" s="2384"/>
      <c r="AB39" s="2392"/>
      <c r="AC39" s="1596" t="s">
        <v>647</v>
      </c>
      <c r="AD39" s="1335" t="s">
        <v>648</v>
      </c>
      <c r="AE39" s="1335" t="s">
        <v>619</v>
      </c>
      <c r="AF39" s="1602" t="s">
        <v>572</v>
      </c>
      <c r="AG39" s="2383" t="s">
        <v>573</v>
      </c>
      <c r="AH39" s="2384"/>
      <c r="AI39" s="2392"/>
      <c r="AJ39" s="2395"/>
      <c r="AK39" s="2240"/>
      <c r="AQ39" s="1268">
        <v>86</v>
      </c>
    </row>
    <row s="8962"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187</v>
      </c>
      <c r="T40" s="1368" t="s">
        <v>104</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394</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198</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394</v>
      </c>
      <c r="B42" s="1476" t="s">
        <v>395</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525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526</v>
      </c>
      <c r="AM42" s="613"/>
      <c r="AN42" s="613" t="str">
        <f>IF(T42="","",T42)</f>
        <v>Территория действия тарифа</v>
      </c>
      <c r="AO42" s="613"/>
      <c r="AP42" s="613"/>
      <c r="AQ42" s="1268">
        <v>23</v>
      </c>
    </row>
    <row customHeight="1" ht="24">
      <c r="A43" s="1476" t="s">
        <v>394</v>
      </c>
      <c r="B43" s="1476" t="s">
        <v>395</v>
      </c>
      <c r="C43" s="1476" t="s">
        <v>396</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645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646</v>
      </c>
      <c r="AM43" s="613"/>
      <c r="AN43" s="613" t="str">
        <f>IF(T43="","",T43)</f>
        <v>Наименование централизованной системы водоотведения</v>
      </c>
      <c r="AO43" s="613"/>
      <c r="AP43" s="613"/>
      <c r="AQ43" s="1268">
        <v>23</v>
      </c>
    </row>
    <row customHeight="1" ht="24">
      <c r="A44" s="1476" t="s">
        <v>394</v>
      </c>
      <c r="B44" s="1476" t="s">
        <v>395</v>
      </c>
      <c r="C44" s="1476" t="s">
        <v>396</v>
      </c>
      <c r="D44" s="1476" t="s">
        <v>649</v>
      </c>
      <c r="E44" s="2372"/>
      <c r="F44" s="2372"/>
      <c r="G44" s="2372"/>
      <c r="H44" s="2372"/>
      <c r="I44" s="2369" t="str">
        <f>S43&amp;".1"</f>
        <v>...1</v>
      </c>
      <c r="J44" s="1476"/>
      <c r="K44" s="1476"/>
      <c r="L44" s="1477"/>
      <c r="P44" s="2370">
        <v>1</v>
      </c>
      <c r="Q44" s="1594"/>
      <c r="R44" s="469"/>
      <c r="S44" s="1606" t="str">
        <f>$I44</f>
        <v>...1</v>
      </c>
      <c r="T44" s="398" t="s">
        <v>608</v>
      </c>
      <c r="U44" s="413"/>
      <c r="V44" s="2463"/>
      <c r="W44" s="2464"/>
      <c r="X44" s="2464"/>
      <c r="Y44" s="2464"/>
      <c r="Z44" s="2464"/>
      <c r="AA44" s="2464"/>
      <c r="AB44" s="2465"/>
      <c r="AC44" s="2466"/>
      <c r="AD44" s="2467"/>
      <c r="AE44" s="2467"/>
      <c r="AF44" s="2467"/>
      <c r="AG44" s="2467"/>
      <c r="AH44" s="2467"/>
      <c r="AI44" s="2467"/>
      <c r="AJ44" s="2468"/>
      <c r="AK44" s="1371" t="s">
        <v>609</v>
      </c>
      <c r="AM44" s="613"/>
      <c r="AN44" s="613" t="str">
        <f>IF(T44="","",T44)</f>
        <v>Наименование признака дифференциации</v>
      </c>
      <c r="AO44" s="613"/>
      <c r="AP44" s="613"/>
      <c r="AQ44" s="1268">
        <v>23</v>
      </c>
    </row>
    <row customHeight="1" ht="24">
      <c r="A45" s="1476" t="s">
        <v>394</v>
      </c>
      <c r="B45" s="1476" t="s">
        <v>395</v>
      </c>
      <c r="C45" s="1476" t="s">
        <v>396</v>
      </c>
      <c r="D45" s="1476" t="s">
        <v>649</v>
      </c>
      <c r="E45" s="2372"/>
      <c r="F45" s="2372"/>
      <c r="G45" s="2372"/>
      <c r="H45" s="2372"/>
      <c r="I45" s="2399"/>
      <c r="J45" s="2369" t="str">
        <f>I44&amp;".1"</f>
        <v>...1.1</v>
      </c>
      <c r="K45" s="1476"/>
      <c r="L45" s="1477" t="s">
        <v>534</v>
      </c>
      <c r="P45" s="2370"/>
      <c r="Q45" s="2370">
        <v>1</v>
      </c>
      <c r="R45" s="470"/>
      <c r="S45" s="1606" t="str">
        <f>$J45</f>
        <v>...1.1</v>
      </c>
      <c r="T45" s="399" t="s">
        <v>535</v>
      </c>
      <c r="U45" s="413"/>
      <c r="V45" s="2358"/>
      <c r="W45" s="2359"/>
      <c r="X45" s="2359"/>
      <c r="Y45" s="2359"/>
      <c r="Z45" s="2359"/>
      <c r="AA45" s="2359"/>
      <c r="AB45" s="2360"/>
      <c r="AC45" s="2358"/>
      <c r="AD45" s="2359"/>
      <c r="AE45" s="2359"/>
      <c r="AF45" s="2359"/>
      <c r="AG45" s="2359"/>
      <c r="AH45" s="2359"/>
      <c r="AI45" s="2359"/>
      <c r="AJ45" s="2360"/>
      <c r="AK45" s="1420" t="s">
        <v>610</v>
      </c>
      <c r="AM45" s="613"/>
      <c r="AN45" s="613" t="str">
        <f>IF(T45="","",T45)</f>
        <v>Группа потребителей</v>
      </c>
      <c r="AO45" s="613"/>
      <c r="AP45" s="613"/>
      <c r="AQ45" s="1268">
        <v>23</v>
      </c>
    </row>
    <row customHeight="1" ht="24">
      <c r="A46" s="1476" t="s">
        <v>394</v>
      </c>
      <c r="B46" s="1476" t="s">
        <v>395</v>
      </c>
      <c r="C46" s="1476" t="s">
        <v>396</v>
      </c>
      <c r="D46" s="1476" t="s">
        <v>649</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394</v>
      </c>
      <c r="B47" s="1476" t="s">
        <v>395</v>
      </c>
      <c r="C47" s="1476" t="s">
        <v>396</v>
      </c>
      <c r="D47" s="1476" t="s">
        <v>649</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394</v>
      </c>
      <c r="B48" s="1476" t="s">
        <v>395</v>
      </c>
      <c r="C48" s="1476" t="s">
        <v>396</v>
      </c>
      <c r="D48" s="1476" t="s">
        <v>649</v>
      </c>
      <c r="E48" s="2372"/>
      <c r="F48" s="2372"/>
      <c r="G48" s="2372"/>
      <c r="H48" s="2372"/>
      <c r="I48" s="2399"/>
      <c r="J48" s="2369"/>
      <c r="K48" s="1476"/>
      <c r="L48" s="1477"/>
      <c r="P48" s="2370"/>
      <c r="Q48" s="2370"/>
      <c r="R48" s="469"/>
      <c r="S48" s="1391"/>
      <c r="T48" s="400" t="s">
        <v>611</v>
      </c>
      <c r="U48" s="480"/>
      <c r="V48" s="480"/>
      <c r="W48" s="480"/>
      <c r="X48" s="480"/>
      <c r="Y48" s="480"/>
      <c r="Z48" s="480"/>
      <c r="AA48" s="480"/>
      <c r="AB48" s="480"/>
      <c r="AC48" s="480"/>
      <c r="AD48" s="480"/>
      <c r="AE48" s="480"/>
      <c r="AF48" s="480"/>
      <c r="AG48" s="480"/>
      <c r="AH48" s="480"/>
      <c r="AI48" s="480"/>
      <c r="AJ48" s="480"/>
      <c r="AK48" s="1371" t="s">
        <v>612</v>
      </c>
      <c r="AM48" s="613"/>
      <c r="AN48" s="613" t="str">
        <f>IF(T48="","",T48)</f>
        <v>Добавить значение признака дифференциации</v>
      </c>
      <c r="AO48" s="613"/>
      <c r="AP48" s="613"/>
      <c r="AQ48" s="1268">
        <v>20</v>
      </c>
    </row>
    <row customHeight="1" ht="22.049999999999997">
      <c r="A49" s="1476" t="s">
        <v>394</v>
      </c>
      <c r="B49" s="1476" t="s">
        <v>395</v>
      </c>
      <c r="C49" s="1476" t="s">
        <v>396</v>
      </c>
      <c r="D49" s="1476" t="s">
        <v>649</v>
      </c>
      <c r="E49" s="2372"/>
      <c r="F49" s="2372"/>
      <c r="G49" s="2372"/>
      <c r="H49" s="2372"/>
      <c r="I49" s="2369"/>
      <c r="J49" s="1476"/>
      <c r="K49" s="1476"/>
      <c r="L49" s="1477"/>
      <c r="P49" s="2370"/>
      <c r="Q49" s="1594"/>
      <c r="R49" s="469"/>
      <c r="S49" s="1391"/>
      <c r="T49" s="478" t="s">
        <v>540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394</v>
      </c>
      <c r="B50" s="1476" t="s">
        <v>395</v>
      </c>
      <c r="C50" s="1476" t="s">
        <v>396</v>
      </c>
      <c r="D50" s="1476" t="s">
        <v>649</v>
      </c>
      <c r="E50" s="2372"/>
      <c r="F50" s="2372"/>
      <c r="G50" s="2372"/>
      <c r="H50" s="2371"/>
      <c r="I50" s="1476"/>
      <c r="J50" s="1476"/>
      <c r="K50" s="1476"/>
      <c r="L50" s="1477"/>
      <c r="M50" s="1478"/>
      <c r="N50" s="1478"/>
      <c r="O50" s="650"/>
      <c r="P50" s="473"/>
      <c r="Q50" s="488"/>
      <c r="R50" s="468"/>
      <c r="S50" s="1391"/>
      <c r="T50" s="485" t="s">
        <v>613</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8355" customFormat="1" customHeight="1" ht="0">
      <c r="A51" s="1456" t="s">
        <v>394</v>
      </c>
      <c r="B51" s="1456" t="s">
        <v>395</v>
      </c>
      <c r="C51" s="1427"/>
      <c r="D51" s="1427"/>
      <c r="E51" s="2372"/>
      <c r="F51" s="2371"/>
      <c r="G51" s="1427"/>
      <c r="H51" s="1427"/>
      <c r="I51" s="1427"/>
      <c r="J51" s="1427"/>
      <c r="K51" s="1427"/>
      <c r="L51" s="1607"/>
      <c r="M51" s="1434"/>
      <c r="N51" s="1434"/>
      <c r="P51" s="1429"/>
      <c r="Q51" s="1430"/>
      <c r="R51" s="1429"/>
      <c r="S51" s="1435"/>
      <c r="T51" s="1438" t="s">
        <v>298</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8355" customFormat="1" customHeight="1" ht="0">
      <c r="A52" s="1456" t="s">
        <v>394</v>
      </c>
      <c r="B52" s="1456"/>
      <c r="C52" s="1456"/>
      <c r="D52" s="1456"/>
      <c r="E52" s="2371"/>
      <c r="F52" s="1456"/>
      <c r="G52" s="1456"/>
      <c r="H52" s="1456"/>
      <c r="I52" s="1456"/>
      <c r="J52" s="1456"/>
      <c r="K52" s="1456"/>
      <c r="L52" s="1459"/>
      <c r="M52" s="1434"/>
      <c r="N52" s="1434"/>
      <c r="O52" s="631"/>
      <c r="P52" s="493"/>
      <c r="Q52" s="1457"/>
      <c r="R52" s="493"/>
      <c r="S52" s="1435"/>
      <c r="T52" s="1438" t="s">
        <v>355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8355"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356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EA4A43-6B97-AE9A-A729-26B3639BB61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354" width="10.57421875" hidden="1"/>
    <col min="2" max="2" style="8354" width="11.00390625" hidden="1" customWidth="1"/>
    <col min="3" max="3" style="8354" width="10.57421875" hidden="1"/>
    <col min="4" max="4" style="8354" width="11.8515625" hidden="1" customWidth="1"/>
    <col min="5" max="5" style="8354" width="10.00390625" hidden="1" customWidth="1"/>
    <col min="6" max="6" style="8354" width="8.7109375" hidden="1" customWidth="1"/>
    <col min="7" max="7" style="8354" width="7.57421875" hidden="1" customWidth="1"/>
    <col min="8" max="8" style="8354" width="11.421875" hidden="1" customWidth="1"/>
    <col min="9" max="9" style="8354" width="14.140625" hidden="1" customWidth="1"/>
    <col min="10" max="10" style="8354" width="9.8515625" hidden="1" customWidth="1"/>
    <col min="11" max="11" style="8354" width="14.7109375" hidden="1" customWidth="1"/>
    <col min="12" max="12" style="9204" width="19.140625" hidden="1" customWidth="1"/>
    <col min="13" max="14" style="9205" width="12.28125" hidden="1" customWidth="1"/>
    <col min="15" max="15" style="9205" width="23.421875" hidden="1" customWidth="1"/>
    <col min="16" max="16" style="9206" width="3.00390625" customWidth="1"/>
    <col min="17" max="18" style="9207" width="3.00390625" customWidth="1"/>
    <col min="19" max="19" style="9208" width="12.00390625" customWidth="1"/>
    <col min="20" max="20" style="8273" width="35.00390625" customWidth="1"/>
    <col min="21" max="21" style="8273" width="0.140625" customWidth="1"/>
    <col min="22" max="24" style="8273" width="24.7109375" hidden="1" customWidth="1"/>
    <col min="25" max="25" style="8273" width="11.7109375" hidden="1" customWidth="1"/>
    <col min="26" max="26" style="8273" width="3.7109375" hidden="1" customWidth="1"/>
    <col min="27" max="27" style="8273" width="11.7109375" hidden="1" customWidth="1"/>
    <col min="28" max="28" style="8273" width="8.57421875" hidden="1" customWidth="1"/>
    <col min="29" max="29" style="8273" width="24.7109375" customWidth="1"/>
    <col min="30" max="31" style="8273" width="24.00390625" customWidth="1"/>
    <col min="32" max="32" style="8273" width="11.00390625" customWidth="1"/>
    <col min="33" max="33" style="8273" width="3.7109375" customWidth="1"/>
    <col min="34" max="34" style="8273" width="11.00390625" customWidth="1"/>
    <col min="35" max="35" style="8273" width="8.57421875" hidden="1" customWidth="1"/>
    <col min="36" max="36" style="8273" width="4.00390625" customWidth="1"/>
    <col min="37" max="37" style="8273" width="115.00390625" customWidth="1"/>
    <col min="38" max="42" style="8355" width="10.00390625" customWidth="1"/>
    <col min="43" max="43" style="827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198</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525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526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645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646</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608</v>
      </c>
      <c r="U5" s="413"/>
      <c r="V5" s="2463"/>
      <c r="W5" s="2464"/>
      <c r="X5" s="2464"/>
      <c r="Y5" s="2464"/>
      <c r="Z5" s="2464"/>
      <c r="AA5" s="2464"/>
      <c r="AB5" s="2465"/>
      <c r="AC5" s="2466"/>
      <c r="AD5" s="2467"/>
      <c r="AE5" s="2467"/>
      <c r="AF5" s="2467"/>
      <c r="AG5" s="2467"/>
      <c r="AH5" s="2467"/>
      <c r="AI5" s="2467"/>
      <c r="AJ5" s="2468"/>
      <c r="AK5" s="1371" t="s">
        <v>609</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534</v>
      </c>
      <c r="P6" s="2370"/>
      <c r="Q6" s="2370">
        <v>1</v>
      </c>
      <c r="R6" s="470"/>
      <c r="S6" s="1606">
        <f>$J6</f>
      </c>
      <c r="T6" s="399" t="s">
        <v>535</v>
      </c>
      <c r="U6" s="413"/>
      <c r="V6" s="2358"/>
      <c r="W6" s="2359"/>
      <c r="X6" s="2359"/>
      <c r="Y6" s="2359"/>
      <c r="Z6" s="2359"/>
      <c r="AA6" s="2359"/>
      <c r="AB6" s="2360"/>
      <c r="AC6" s="2358"/>
      <c r="AD6" s="2359"/>
      <c r="AE6" s="2359"/>
      <c r="AF6" s="2359"/>
      <c r="AG6" s="2359"/>
      <c r="AH6" s="2359"/>
      <c r="AI6" s="2359"/>
      <c r="AJ6" s="2360"/>
      <c r="AK6" s="1420" t="s">
        <v>610</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611</v>
      </c>
      <c r="U9" s="480"/>
      <c r="V9" s="480"/>
      <c r="W9" s="480"/>
      <c r="X9" s="480"/>
      <c r="Y9" s="480"/>
      <c r="Z9" s="480"/>
      <c r="AA9" s="480"/>
      <c r="AB9" s="480"/>
      <c r="AC9" s="480"/>
      <c r="AD9" s="480"/>
      <c r="AE9" s="480"/>
      <c r="AF9" s="480"/>
      <c r="AG9" s="480"/>
      <c r="AH9" s="480"/>
      <c r="AI9" s="480"/>
      <c r="AJ9" s="480"/>
      <c r="AK9" s="1371" t="s">
        <v>612</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540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613</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8355"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298</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835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355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8354" customFormat="1" customHeight="1" ht="22.5" hidden="1">
      <c r="L18" s="1591"/>
      <c r="M18" s="1475"/>
      <c r="N18" s="1475"/>
      <c r="O18" s="1480" t="s">
        <v>543</v>
      </c>
      <c r="P18" s="1475"/>
      <c r="Q18" s="1484"/>
      <c r="R18" s="1484"/>
      <c r="S18" s="842"/>
      <c r="Y18" s="1480"/>
      <c r="AA18" s="1480"/>
      <c r="AB18" s="1479"/>
      <c r="AF18" s="1480"/>
      <c r="AH18" s="1480"/>
      <c r="AI18" s="1479"/>
      <c r="AL18" s="624"/>
      <c r="AM18" s="624"/>
      <c r="AN18" s="624"/>
      <c r="AO18" s="624"/>
      <c r="AP18" s="624"/>
      <c r="AQ18" s="1273">
        <v>0</v>
      </c>
    </row>
    <row s="8354" customFormat="1" customHeight="1" ht="14.25" hidden="1">
      <c r="L19" s="1591"/>
      <c r="M19" s="1475"/>
      <c r="N19" s="1475"/>
      <c r="O19" s="1475"/>
      <c r="P19" s="1475"/>
      <c r="Q19" s="1484"/>
      <c r="R19" s="1484"/>
      <c r="S19" s="842"/>
      <c r="AB19" s="1479"/>
      <c r="AI19" s="1479"/>
      <c r="AL19" s="624"/>
      <c r="AM19" s="624"/>
      <c r="AN19" s="624"/>
      <c r="AO19" s="624"/>
      <c r="AP19" s="624"/>
      <c r="AQ19" s="1273">
        <v>0</v>
      </c>
    </row>
    <row s="8354" customFormat="1" customHeight="1" ht="12" hidden="1">
      <c r="L20" s="1591"/>
      <c r="M20" s="1475"/>
      <c r="N20" s="1475"/>
      <c r="O20" s="1477" t="s">
        <v>544</v>
      </c>
      <c r="P20" s="1475"/>
      <c r="Q20" s="1555"/>
      <c r="R20" s="1555"/>
      <c r="S20" s="842"/>
      <c r="T20" s="1273" t="s">
        <v>545</v>
      </c>
      <c r="Z20" s="299" t="s">
        <v>546</v>
      </c>
      <c r="AB20" s="299" t="s">
        <v>547</v>
      </c>
      <c r="AC20" s="1273" t="s">
        <v>545</v>
      </c>
      <c r="AG20" s="299" t="s">
        <v>548</v>
      </c>
      <c r="AI20" s="299" t="s">
        <v>547</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МУП ЖКХ "Родник"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8491"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8491" customFormat="1" customHeight="1" ht="18.75" hidden="1">
      <c r="A28" s="1481"/>
      <c r="B28" s="1481"/>
      <c r="C28" s="1481"/>
      <c r="D28" s="1481"/>
      <c r="E28" s="1481"/>
      <c r="F28" s="1481"/>
      <c r="G28" s="1481"/>
      <c r="H28" s="1481"/>
      <c r="I28" s="1481"/>
      <c r="J28" s="1481"/>
      <c r="K28" s="1481"/>
      <c r="L28" s="1482"/>
      <c r="M28" s="1481"/>
      <c r="N28" s="1481"/>
      <c r="O28" s="1481"/>
      <c r="S28" s="2363" t="s">
        <v>549</v>
      </c>
      <c r="T28" s="2363"/>
      <c r="U28" s="1485"/>
      <c r="V28" s="2377" t="str">
        <f>IF(TITLE_DATE_PR_CHANGE="",IF(TITLE_DATE_PR="","",TITLE_DATE_PR),TITLE_DATE_PR_CHANGE)</f>
        <v>45586</v>
      </c>
      <c r="W28" s="2377"/>
      <c r="X28" s="2377"/>
      <c r="Y28" s="2377"/>
      <c r="Z28" s="2377"/>
      <c r="AA28" s="2377"/>
      <c r="AB28" s="439"/>
      <c r="AC28" s="2377" t="str">
        <f>IF(TITLE_DATE_PR_CHANGE="",IF(TITLE_DATE_PR="","",TITLE_DATE_PR),TITLE_DATE_PR_CHANGE)</f>
        <v>45586</v>
      </c>
      <c r="AD28" s="2377"/>
      <c r="AE28" s="2377"/>
      <c r="AF28" s="2377"/>
      <c r="AG28" s="2377"/>
      <c r="AH28" s="2377"/>
      <c r="AI28" s="439"/>
      <c r="AJ28" s="439"/>
      <c r="AK28" s="393"/>
      <c r="AL28" s="481"/>
      <c r="AM28" s="481"/>
      <c r="AN28" s="481"/>
      <c r="AO28" s="481"/>
      <c r="AP28" s="481"/>
      <c r="AQ28" s="531">
        <v>0</v>
      </c>
    </row>
    <row s="8491" customFormat="1" customHeight="1" ht="18.75" hidden="1">
      <c r="A29" s="1481"/>
      <c r="B29" s="1481"/>
      <c r="C29" s="1481"/>
      <c r="D29" s="1481"/>
      <c r="E29" s="1481"/>
      <c r="F29" s="1481"/>
      <c r="G29" s="1481"/>
      <c r="H29" s="1481"/>
      <c r="I29" s="1481"/>
      <c r="J29" s="1481"/>
      <c r="K29" s="1481"/>
      <c r="L29" s="1482"/>
      <c r="M29" s="1481"/>
      <c r="N29" s="1481"/>
      <c r="O29" s="1481"/>
      <c r="S29" s="2363" t="s">
        <v>550</v>
      </c>
      <c r="T29" s="2363"/>
      <c r="U29" s="1485"/>
      <c r="V29" s="2364" t="str">
        <f>IF(TITLE_NUMBER_PR_CHANGE="",IF(TITLE_NUMBER_PR="","",TITLE_NUMBER_PR),TITLE_NUMBER_PR_CHANGE)</f>
        <v>1577</v>
      </c>
      <c r="W29" s="2364"/>
      <c r="X29" s="2364"/>
      <c r="Y29" s="2364"/>
      <c r="Z29" s="2364"/>
      <c r="AA29" s="2364"/>
      <c r="AB29" s="439"/>
      <c r="AC29" s="2364" t="str">
        <f>IF(TITLE_NUMBER_PR_CHANGE="",IF(TITLE_NUMBER_PR="","",TITLE_NUMBER_PR),TITLE_NUMBER_PR_CHANGE)</f>
        <v>1577</v>
      </c>
      <c r="AD29" s="2364"/>
      <c r="AE29" s="2364"/>
      <c r="AF29" s="2364"/>
      <c r="AG29" s="2364"/>
      <c r="AH29" s="2364"/>
      <c r="AI29" s="439"/>
      <c r="AJ29" s="439"/>
      <c r="AK29" s="393"/>
      <c r="AL29" s="481"/>
      <c r="AM29" s="481"/>
      <c r="AN29" s="481"/>
      <c r="AO29" s="481"/>
      <c r="AP29" s="481"/>
      <c r="AQ29" s="531">
        <v>0</v>
      </c>
    </row>
    <row s="8491"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8491" customFormat="1" customHeight="1" ht="18.75">
      <c r="A32" s="1481"/>
      <c r="B32" s="1481"/>
      <c r="C32" s="1481"/>
      <c r="D32" s="1481"/>
      <c r="E32" s="1481"/>
      <c r="F32" s="1481"/>
      <c r="G32" s="1481"/>
      <c r="H32" s="1481"/>
      <c r="I32" s="1481"/>
      <c r="J32" s="1481"/>
      <c r="K32" s="1481"/>
      <c r="L32" s="1482"/>
      <c r="M32" s="1481"/>
      <c r="N32" s="1481"/>
      <c r="O32" s="1481"/>
      <c r="S32" s="2363" t="s">
        <v>551</v>
      </c>
      <c r="T32" s="2363"/>
      <c r="U32" s="1485"/>
      <c r="V32" s="2377" t="str">
        <f>IF(TITLE_DATE_PR_CHANGE="",IF(TITLE_DATE_PR="","",TITLE_DATE_PR),TITLE_DATE_PR_CHANGE)</f>
        <v>45586</v>
      </c>
      <c r="W32" s="2377"/>
      <c r="X32" s="2377"/>
      <c r="Y32" s="2377"/>
      <c r="Z32" s="2377"/>
      <c r="AA32" s="2377"/>
      <c r="AB32" s="439"/>
      <c r="AC32" s="2377" t="str">
        <f>IF(TITLE_DATE_PR_CHANGE="",IF(TITLE_DATE_PR="","",TITLE_DATE_PR),TITLE_DATE_PR_CHANGE)</f>
        <v>45586</v>
      </c>
      <c r="AD32" s="2377"/>
      <c r="AE32" s="2377"/>
      <c r="AF32" s="2377"/>
      <c r="AG32" s="2377"/>
      <c r="AH32" s="2377"/>
      <c r="AI32" s="439"/>
      <c r="AJ32" s="439"/>
      <c r="AK32" s="393"/>
      <c r="AL32" s="481"/>
      <c r="AM32" s="481"/>
      <c r="AN32" s="481"/>
      <c r="AO32" s="481"/>
      <c r="AP32" s="481"/>
      <c r="AQ32" s="531">
        <v>0</v>
      </c>
    </row>
    <row s="8491" customFormat="1" customHeight="1" ht="18.75">
      <c r="A33" s="1481"/>
      <c r="B33" s="1481"/>
      <c r="C33" s="1481"/>
      <c r="D33" s="1481"/>
      <c r="E33" s="1481"/>
      <c r="F33" s="1481"/>
      <c r="G33" s="1481"/>
      <c r="H33" s="1481"/>
      <c r="I33" s="1481"/>
      <c r="J33" s="1481"/>
      <c r="K33" s="1481"/>
      <c r="L33" s="1482"/>
      <c r="M33" s="1481"/>
      <c r="N33" s="1481"/>
      <c r="O33" s="1481"/>
      <c r="S33" s="2363" t="s">
        <v>552</v>
      </c>
      <c r="T33" s="2363"/>
      <c r="U33" s="1485"/>
      <c r="V33" s="2364" t="str">
        <f>IF(TITLE_NUMBER_PR_CHANGE="",IF(TITLE_NUMBER_PR="","",TITLE_NUMBER_PR),TITLE_NUMBER_PR_CHANGE)</f>
        <v>1577</v>
      </c>
      <c r="W33" s="2364"/>
      <c r="X33" s="2364"/>
      <c r="Y33" s="2364"/>
      <c r="Z33" s="2364"/>
      <c r="AA33" s="2364"/>
      <c r="AB33" s="439"/>
      <c r="AC33" s="2364" t="str">
        <f>IF(TITLE_NUMBER_PR_CHANGE="",IF(TITLE_NUMBER_PR="","",TITLE_NUMBER_PR),TITLE_NUMBER_PR_CHANGE)</f>
        <v>1577</v>
      </c>
      <c r="AD33" s="2364"/>
      <c r="AE33" s="2364"/>
      <c r="AF33" s="2364"/>
      <c r="AG33" s="2364"/>
      <c r="AH33" s="2364"/>
      <c r="AI33" s="439"/>
      <c r="AJ33" s="439"/>
      <c r="AK33" s="393"/>
      <c r="AL33" s="481"/>
      <c r="AM33" s="481"/>
      <c r="AN33" s="481"/>
      <c r="AO33" s="481"/>
      <c r="AP33" s="481"/>
      <c r="AQ33" s="531">
        <v>0</v>
      </c>
    </row>
    <row s="8491"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553</v>
      </c>
      <c r="AC34" s="439"/>
      <c r="AD34" s="439"/>
      <c r="AE34" s="439"/>
      <c r="AF34" s="439"/>
      <c r="AG34" s="439"/>
      <c r="AH34" s="439"/>
      <c r="AI34" s="391" t="s">
        <v>553</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428</v>
      </c>
      <c r="T36" s="2240"/>
      <c r="U36" s="2240"/>
      <c r="V36" s="2240"/>
      <c r="W36" s="2240"/>
      <c r="X36" s="2240"/>
      <c r="Y36" s="2240"/>
      <c r="Z36" s="2240"/>
      <c r="AA36" s="2240"/>
      <c r="AB36" s="2240"/>
      <c r="AC36" s="2240"/>
      <c r="AD36" s="2240"/>
      <c r="AE36" s="2240"/>
      <c r="AF36" s="2240"/>
      <c r="AG36" s="2240"/>
      <c r="AH36" s="2240"/>
      <c r="AI36" s="2240"/>
      <c r="AJ36" s="2240"/>
      <c r="AK36" s="2240" t="s">
        <v>429</v>
      </c>
      <c r="AQ36" s="1268">
        <v>14</v>
      </c>
    </row>
    <row customHeight="1" ht="14.699999999999998">
      <c r="Q37" s="489"/>
      <c r="R37" s="489"/>
      <c r="S37" s="2386" t="s">
        <v>88</v>
      </c>
      <c r="T37" s="2322" t="s">
        <v>554</v>
      </c>
      <c r="U37" s="414"/>
      <c r="V37" s="2387" t="s">
        <v>555</v>
      </c>
      <c r="W37" s="2388"/>
      <c r="X37" s="2388"/>
      <c r="Y37" s="2388"/>
      <c r="Z37" s="2388"/>
      <c r="AA37" s="2389"/>
      <c r="AB37" s="2390" t="s">
        <v>556</v>
      </c>
      <c r="AC37" s="2387" t="s">
        <v>555</v>
      </c>
      <c r="AD37" s="2388"/>
      <c r="AE37" s="2388"/>
      <c r="AF37" s="2388"/>
      <c r="AG37" s="2388"/>
      <c r="AH37" s="2389"/>
      <c r="AI37" s="2390" t="s">
        <v>557</v>
      </c>
      <c r="AJ37" s="2393" t="s">
        <v>558</v>
      </c>
      <c r="AK37" s="2240"/>
      <c r="AQ37" s="1268">
        <v>14</v>
      </c>
    </row>
    <row customHeight="1" ht="35.699999999999996">
      <c r="Q38" s="489"/>
      <c r="R38" s="489"/>
      <c r="S38" s="2386"/>
      <c r="T38" s="2322"/>
      <c r="U38" s="1144"/>
      <c r="V38" s="1596" t="s">
        <v>614</v>
      </c>
      <c r="W38" s="2375" t="s">
        <v>561</v>
      </c>
      <c r="X38" s="2376"/>
      <c r="Y38" s="2375" t="s">
        <v>562</v>
      </c>
      <c r="Z38" s="2382"/>
      <c r="AA38" s="2376"/>
      <c r="AB38" s="2391"/>
      <c r="AC38" s="1596" t="s">
        <v>614</v>
      </c>
      <c r="AD38" s="2375" t="s">
        <v>561</v>
      </c>
      <c r="AE38" s="2376"/>
      <c r="AF38" s="2375" t="s">
        <v>562</v>
      </c>
      <c r="AG38" s="2382"/>
      <c r="AH38" s="2376"/>
      <c r="AI38" s="2391"/>
      <c r="AJ38" s="2394"/>
      <c r="AK38" s="2240"/>
      <c r="AQ38" s="1268">
        <v>34</v>
      </c>
    </row>
    <row customHeight="1" ht="90.3">
      <c r="A39" s="1483"/>
      <c r="B39" s="1483" t="s">
        <v>210</v>
      </c>
      <c r="C39" s="1483" t="s">
        <v>211</v>
      </c>
      <c r="D39" s="1483" t="s">
        <v>212</v>
      </c>
      <c r="E39" s="1477" t="s">
        <v>563</v>
      </c>
      <c r="F39" s="1477" t="s">
        <v>564</v>
      </c>
      <c r="G39" s="1477" t="s">
        <v>565</v>
      </c>
      <c r="H39" s="1477"/>
      <c r="I39" s="1477" t="s">
        <v>615</v>
      </c>
      <c r="J39" s="1477" t="s">
        <v>568</v>
      </c>
      <c r="K39" s="1477" t="s">
        <v>616</v>
      </c>
      <c r="L39" s="1477" t="s">
        <v>544</v>
      </c>
      <c r="Q39" s="489"/>
      <c r="R39" s="489"/>
      <c r="S39" s="2386"/>
      <c r="T39" s="2322"/>
      <c r="U39" s="415"/>
      <c r="V39" s="1596" t="s">
        <v>647</v>
      </c>
      <c r="W39" s="1335" t="s">
        <v>648</v>
      </c>
      <c r="X39" s="1335" t="s">
        <v>619</v>
      </c>
      <c r="Y39" s="1602" t="s">
        <v>572</v>
      </c>
      <c r="Z39" s="2383" t="s">
        <v>573</v>
      </c>
      <c r="AA39" s="2384"/>
      <c r="AB39" s="2392"/>
      <c r="AC39" s="1596" t="s">
        <v>647</v>
      </c>
      <c r="AD39" s="1335" t="s">
        <v>648</v>
      </c>
      <c r="AE39" s="1335" t="s">
        <v>619</v>
      </c>
      <c r="AF39" s="1602" t="s">
        <v>572</v>
      </c>
      <c r="AG39" s="2383" t="s">
        <v>573</v>
      </c>
      <c r="AH39" s="2384"/>
      <c r="AI39" s="2392"/>
      <c r="AJ39" s="2395"/>
      <c r="AK39" s="2240"/>
      <c r="AQ39" s="1268">
        <v>86</v>
      </c>
    </row>
    <row s="8962"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187</v>
      </c>
      <c r="T40" s="1368" t="s">
        <v>104</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399</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198</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399</v>
      </c>
      <c r="B42" s="1476" t="s">
        <v>400</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525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526</v>
      </c>
      <c r="AM42" s="613"/>
      <c r="AN42" s="613" t="str">
        <f>IF(T42="","",T42)</f>
        <v>Территория действия тарифа</v>
      </c>
      <c r="AO42" s="613"/>
      <c r="AP42" s="613"/>
      <c r="AQ42" s="1268">
        <v>23</v>
      </c>
    </row>
    <row customHeight="1" ht="24">
      <c r="A43" s="1476" t="s">
        <v>399</v>
      </c>
      <c r="B43" s="1476" t="s">
        <v>400</v>
      </c>
      <c r="C43" s="1476" t="s">
        <v>401</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645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646</v>
      </c>
      <c r="AM43" s="613"/>
      <c r="AN43" s="613" t="str">
        <f>IF(T43="","",T43)</f>
        <v>Наименование централизованной системы водоотведения</v>
      </c>
      <c r="AO43" s="613"/>
      <c r="AP43" s="613"/>
      <c r="AQ43" s="1268">
        <v>23</v>
      </c>
    </row>
    <row customHeight="1" ht="24">
      <c r="A44" s="1476" t="s">
        <v>399</v>
      </c>
      <c r="B44" s="1476" t="s">
        <v>400</v>
      </c>
      <c r="C44" s="1476" t="s">
        <v>401</v>
      </c>
      <c r="D44" s="1476" t="s">
        <v>650</v>
      </c>
      <c r="E44" s="2372"/>
      <c r="F44" s="2372"/>
      <c r="G44" s="2372"/>
      <c r="H44" s="2372"/>
      <c r="I44" s="2369" t="str">
        <f>S43&amp;".1"</f>
        <v>...1</v>
      </c>
      <c r="J44" s="1476"/>
      <c r="K44" s="1476"/>
      <c r="L44" s="1477"/>
      <c r="P44" s="2370">
        <v>1</v>
      </c>
      <c r="Q44" s="1594"/>
      <c r="R44" s="469"/>
      <c r="S44" s="1606" t="str">
        <f>$I44</f>
        <v>...1</v>
      </c>
      <c r="T44" s="398" t="s">
        <v>608</v>
      </c>
      <c r="U44" s="413"/>
      <c r="V44" s="2463"/>
      <c r="W44" s="2464"/>
      <c r="X44" s="2464"/>
      <c r="Y44" s="2464"/>
      <c r="Z44" s="2464"/>
      <c r="AA44" s="2464"/>
      <c r="AB44" s="2465"/>
      <c r="AC44" s="2466"/>
      <c r="AD44" s="2467"/>
      <c r="AE44" s="2467"/>
      <c r="AF44" s="2467"/>
      <c r="AG44" s="2467"/>
      <c r="AH44" s="2467"/>
      <c r="AI44" s="2467"/>
      <c r="AJ44" s="2468"/>
      <c r="AK44" s="1371" t="s">
        <v>609</v>
      </c>
      <c r="AM44" s="613"/>
      <c r="AN44" s="613" t="str">
        <f>IF(T44="","",T44)</f>
        <v>Наименование признака дифференциации</v>
      </c>
      <c r="AO44" s="613"/>
      <c r="AP44" s="613"/>
      <c r="AQ44" s="1268">
        <v>23</v>
      </c>
    </row>
    <row customHeight="1" ht="24">
      <c r="A45" s="1476" t="s">
        <v>399</v>
      </c>
      <c r="B45" s="1476" t="s">
        <v>400</v>
      </c>
      <c r="C45" s="1476" t="s">
        <v>401</v>
      </c>
      <c r="D45" s="1476" t="s">
        <v>650</v>
      </c>
      <c r="E45" s="2372"/>
      <c r="F45" s="2372"/>
      <c r="G45" s="2372"/>
      <c r="H45" s="2372"/>
      <c r="I45" s="2399"/>
      <c r="J45" s="2369" t="str">
        <f>I44&amp;".1"</f>
        <v>...1.1</v>
      </c>
      <c r="K45" s="1476"/>
      <c r="L45" s="1477" t="s">
        <v>534</v>
      </c>
      <c r="P45" s="2370"/>
      <c r="Q45" s="2370">
        <v>1</v>
      </c>
      <c r="R45" s="470"/>
      <c r="S45" s="1606" t="str">
        <f>$J45</f>
        <v>...1.1</v>
      </c>
      <c r="T45" s="399" t="s">
        <v>535</v>
      </c>
      <c r="U45" s="413"/>
      <c r="V45" s="2358"/>
      <c r="W45" s="2359"/>
      <c r="X45" s="2359"/>
      <c r="Y45" s="2359"/>
      <c r="Z45" s="2359"/>
      <c r="AA45" s="2359"/>
      <c r="AB45" s="2360"/>
      <c r="AC45" s="2358"/>
      <c r="AD45" s="2359"/>
      <c r="AE45" s="2359"/>
      <c r="AF45" s="2359"/>
      <c r="AG45" s="2359"/>
      <c r="AH45" s="2359"/>
      <c r="AI45" s="2359"/>
      <c r="AJ45" s="2360"/>
      <c r="AK45" s="1420" t="s">
        <v>610</v>
      </c>
      <c r="AM45" s="613"/>
      <c r="AN45" s="613" t="str">
        <f>IF(T45="","",T45)</f>
        <v>Группа потребителей</v>
      </c>
      <c r="AO45" s="613"/>
      <c r="AP45" s="613"/>
      <c r="AQ45" s="1268">
        <v>23</v>
      </c>
    </row>
    <row customHeight="1" ht="24">
      <c r="A46" s="1476" t="s">
        <v>399</v>
      </c>
      <c r="B46" s="1476" t="s">
        <v>400</v>
      </c>
      <c r="C46" s="1476" t="s">
        <v>401</v>
      </c>
      <c r="D46" s="1476" t="s">
        <v>650</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399</v>
      </c>
      <c r="B47" s="1476" t="s">
        <v>400</v>
      </c>
      <c r="C47" s="1476" t="s">
        <v>401</v>
      </c>
      <c r="D47" s="1476" t="s">
        <v>650</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399</v>
      </c>
      <c r="B48" s="1476" t="s">
        <v>400</v>
      </c>
      <c r="C48" s="1476" t="s">
        <v>401</v>
      </c>
      <c r="D48" s="1476" t="s">
        <v>650</v>
      </c>
      <c r="E48" s="2372"/>
      <c r="F48" s="2372"/>
      <c r="G48" s="2372"/>
      <c r="H48" s="2372"/>
      <c r="I48" s="2399"/>
      <c r="J48" s="2369"/>
      <c r="K48" s="1476"/>
      <c r="L48" s="1477"/>
      <c r="P48" s="2370"/>
      <c r="Q48" s="2370"/>
      <c r="R48" s="469"/>
      <c r="S48" s="1391"/>
      <c r="T48" s="400" t="s">
        <v>611</v>
      </c>
      <c r="U48" s="480"/>
      <c r="V48" s="480"/>
      <c r="W48" s="480"/>
      <c r="X48" s="480"/>
      <c r="Y48" s="480"/>
      <c r="Z48" s="480"/>
      <c r="AA48" s="480"/>
      <c r="AB48" s="480"/>
      <c r="AC48" s="480"/>
      <c r="AD48" s="480"/>
      <c r="AE48" s="480"/>
      <c r="AF48" s="480"/>
      <c r="AG48" s="480"/>
      <c r="AH48" s="480"/>
      <c r="AI48" s="480"/>
      <c r="AJ48" s="480"/>
      <c r="AK48" s="1371" t="s">
        <v>612</v>
      </c>
      <c r="AM48" s="613"/>
      <c r="AN48" s="613" t="str">
        <f>IF(T48="","",T48)</f>
        <v>Добавить значение признака дифференциации</v>
      </c>
      <c r="AO48" s="613"/>
      <c r="AP48" s="613"/>
      <c r="AQ48" s="1268">
        <v>20</v>
      </c>
    </row>
    <row customHeight="1" ht="22.049999999999997">
      <c r="A49" s="1476" t="s">
        <v>399</v>
      </c>
      <c r="B49" s="1476" t="s">
        <v>400</v>
      </c>
      <c r="C49" s="1476" t="s">
        <v>401</v>
      </c>
      <c r="D49" s="1476" t="s">
        <v>650</v>
      </c>
      <c r="E49" s="2372"/>
      <c r="F49" s="2372"/>
      <c r="G49" s="2372"/>
      <c r="H49" s="2372"/>
      <c r="I49" s="2369"/>
      <c r="J49" s="1476"/>
      <c r="K49" s="1476"/>
      <c r="L49" s="1477"/>
      <c r="P49" s="2370"/>
      <c r="Q49" s="1594"/>
      <c r="R49" s="469"/>
      <c r="S49" s="1391"/>
      <c r="T49" s="478" t="s">
        <v>540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399</v>
      </c>
      <c r="B50" s="1476" t="s">
        <v>400</v>
      </c>
      <c r="C50" s="1476" t="s">
        <v>401</v>
      </c>
      <c r="D50" s="1476" t="s">
        <v>650</v>
      </c>
      <c r="E50" s="2372"/>
      <c r="F50" s="2372"/>
      <c r="G50" s="2372"/>
      <c r="H50" s="2371"/>
      <c r="I50" s="1476"/>
      <c r="J50" s="1476"/>
      <c r="K50" s="1476"/>
      <c r="L50" s="1477"/>
      <c r="M50" s="1478"/>
      <c r="N50" s="1478"/>
      <c r="O50" s="650"/>
      <c r="P50" s="473"/>
      <c r="Q50" s="488"/>
      <c r="R50" s="468"/>
      <c r="S50" s="1391"/>
      <c r="T50" s="485" t="s">
        <v>613</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8355" customFormat="1" customHeight="1" ht="0">
      <c r="A51" s="1456" t="s">
        <v>399</v>
      </c>
      <c r="B51" s="1456" t="s">
        <v>400</v>
      </c>
      <c r="C51" s="1427"/>
      <c r="D51" s="1427"/>
      <c r="E51" s="2372"/>
      <c r="F51" s="2371"/>
      <c r="G51" s="1427"/>
      <c r="H51" s="1427"/>
      <c r="I51" s="1427"/>
      <c r="J51" s="1427"/>
      <c r="K51" s="1427"/>
      <c r="L51" s="1607"/>
      <c r="M51" s="1434"/>
      <c r="N51" s="1434"/>
      <c r="P51" s="1429"/>
      <c r="Q51" s="1430"/>
      <c r="R51" s="1429"/>
      <c r="S51" s="1435"/>
      <c r="T51" s="1438" t="s">
        <v>298</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8355" customFormat="1" customHeight="1" ht="0">
      <c r="A52" s="1456" t="s">
        <v>399</v>
      </c>
      <c r="B52" s="1456"/>
      <c r="C52" s="1456"/>
      <c r="D52" s="1456"/>
      <c r="E52" s="2371"/>
      <c r="F52" s="1456"/>
      <c r="G52" s="1456"/>
      <c r="H52" s="1456"/>
      <c r="I52" s="1456"/>
      <c r="J52" s="1456"/>
      <c r="K52" s="1456"/>
      <c r="L52" s="1459"/>
      <c r="M52" s="1434"/>
      <c r="N52" s="1434"/>
      <c r="O52" s="631"/>
      <c r="P52" s="493"/>
      <c r="Q52" s="1457"/>
      <c r="R52" s="493"/>
      <c r="S52" s="1435"/>
      <c r="T52" s="1438" t="s">
        <v>355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8355"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356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898BF3-4DC6-2427-7A01-2757B688D1A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354" width="11.57421875" hidden="1" customWidth="1"/>
    <col min="2" max="2" style="8354" width="11.00390625" hidden="1" customWidth="1"/>
    <col min="3" max="3" style="8354" width="10.57421875" hidden="1"/>
    <col min="4" max="4" style="8354" width="12.8515625" hidden="1" customWidth="1"/>
    <col min="5" max="5" style="8354" width="10.00390625" hidden="1" customWidth="1"/>
    <col min="6" max="6" style="8354" width="8.7109375" hidden="1" customWidth="1"/>
    <col min="7" max="7" style="8354" width="7.57421875" hidden="1" customWidth="1"/>
    <col min="8" max="8" style="8354" width="11.421875" hidden="1" customWidth="1"/>
    <col min="9" max="9" style="8354" width="12.00390625" hidden="1" customWidth="1"/>
    <col min="10" max="10" style="8354" width="9.8515625" hidden="1" customWidth="1"/>
    <col min="11" max="11" style="8354" width="11.421875" hidden="1" customWidth="1"/>
    <col min="12" max="12" style="9204" width="19.140625" hidden="1" customWidth="1"/>
    <col min="13" max="14" style="9205" width="12.28125" hidden="1" customWidth="1"/>
    <col min="15" max="15" style="9205" width="23.421875" hidden="1" customWidth="1"/>
    <col min="16" max="16" style="9205" width="3.7109375" hidden="1" customWidth="1"/>
    <col min="17" max="17" style="9390" width="3.7109375" hidden="1" customWidth="1"/>
    <col min="18" max="18" style="9207" width="3.00390625" customWidth="1"/>
    <col min="19" max="19" style="9208" width="12.00390625" customWidth="1"/>
    <col min="20" max="20" style="8273" width="31.00390625" customWidth="1"/>
    <col min="21" max="21" style="8273" width="0.140625" customWidth="1"/>
    <col min="22" max="25" style="8273" width="21.7109375" hidden="1" customWidth="1"/>
    <col min="26" max="26" style="8273" width="11.7109375" hidden="1" customWidth="1"/>
    <col min="27" max="27" style="8273" width="3.7109375" hidden="1" customWidth="1"/>
    <col min="28" max="28" style="8273" width="11.7109375" hidden="1" customWidth="1"/>
    <col min="29" max="29" style="8273" width="8.57421875" hidden="1" customWidth="1"/>
    <col min="30" max="30" style="8273" width="3.7109375" customWidth="1"/>
    <col min="31" max="32" style="8273" width="3.00390625" customWidth="1"/>
    <col min="33" max="33" style="8273" width="24.00390625" customWidth="1"/>
    <col min="34" max="34" style="8273" width="3.7109375" customWidth="1"/>
    <col min="35" max="36" style="8273" width="3.00390625" customWidth="1"/>
    <col min="37" max="37" style="8273" width="24.00390625" customWidth="1"/>
    <col min="38" max="38" style="8273" width="3.7109375" customWidth="1"/>
    <col min="39" max="40" style="8273" width="3.00390625" customWidth="1"/>
    <col min="41" max="41" style="8273" width="18.00390625" customWidth="1"/>
    <col min="42" max="42" style="8273" width="3.7109375" customWidth="1"/>
    <col min="43" max="44" style="8273" width="3.00390625" customWidth="1"/>
    <col min="45" max="45" style="8273" width="18.00390625" customWidth="1"/>
    <col min="46" max="49" style="8273" width="21.00390625" customWidth="1"/>
    <col min="50" max="50" style="8273" width="11.00390625" customWidth="1"/>
    <col min="51" max="51" style="8273" width="3.7109375" customWidth="1"/>
    <col min="52" max="52" style="8273" width="11.00390625" customWidth="1"/>
    <col min="53" max="53" style="8273" width="8.57421875" hidden="1" customWidth="1"/>
    <col min="54" max="54" style="8273" width="4.00390625" customWidth="1"/>
    <col min="55" max="55" style="8273" width="115.00390625" customWidth="1"/>
    <col min="56" max="60" style="8355" width="10.00390625" customWidth="1"/>
    <col min="61" max="61" style="8273"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198</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525</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526</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645</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646</v>
      </c>
      <c r="BE4" s="613"/>
      <c r="BF4" s="613" t="str">
        <f>IF(T4="","",T4)</f>
        <v>Наименование централизованной системы водоотведения</v>
      </c>
      <c r="BG4" s="613"/>
      <c r="BH4" s="613"/>
      <c r="BI4" s="1268">
        <v>0</v>
      </c>
    </row>
    <row s="8355"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530</v>
      </c>
      <c r="BE5" s="613"/>
      <c r="BF5" s="613" t="str">
        <f>IF(T5="","",T5)</f>
        <v/>
      </c>
      <c r="BG5" s="613"/>
      <c r="BH5" s="613"/>
      <c r="BI5" s="624">
        <v>0</v>
      </c>
    </row>
    <row s="8355" customFormat="1" customHeight="1" ht="14.25" hidden="1">
      <c r="A6" s="1456"/>
      <c r="B6" s="1456"/>
      <c r="C6" s="1456"/>
      <c r="D6" s="1456"/>
      <c r="E6" s="2372"/>
      <c r="F6" s="2372"/>
      <c r="G6" s="2372"/>
      <c r="H6" s="2372"/>
      <c r="I6" s="2369" t="str">
        <f>S5&amp;".1"</f>
        <v>.1</v>
      </c>
      <c r="J6" s="1456"/>
      <c r="K6" s="1456"/>
      <c r="L6" s="1459" t="s">
        <v>531</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8355"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28</v>
      </c>
      <c r="AL8" s="2220" t="s">
        <v>66</v>
      </c>
      <c r="AM8" s="2305"/>
      <c r="AN8" s="2318">
        <v>1</v>
      </c>
      <c r="AO8" s="2470"/>
      <c r="AP8" s="2471" t="s">
        <v>66</v>
      </c>
      <c r="AQ8" s="424"/>
      <c r="AR8" s="1599">
        <v>1</v>
      </c>
      <c r="AS8" s="1605" t="s">
        <v>28</v>
      </c>
      <c r="AT8" s="864"/>
      <c r="AU8" s="1370"/>
      <c r="AV8" s="864"/>
      <c r="AW8" s="1370"/>
      <c r="AX8" s="1847"/>
      <c r="AY8" s="1582" t="s">
        <v>66</v>
      </c>
      <c r="AZ8" s="1847"/>
      <c r="BA8" s="1582" t="s">
        <v>66</v>
      </c>
      <c r="BB8" s="1461"/>
      <c r="BC8" s="2366" t="s">
        <v>630</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631</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651</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652</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634</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593</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8355"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8355"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8355"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8355"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298</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8355"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355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543</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9361" customFormat="1" customHeight="1" ht="14.25" hidden="1">
      <c r="M24" s="1621"/>
      <c r="N24" s="1621"/>
      <c r="O24" s="1622" t="s">
        <v>544</v>
      </c>
      <c r="P24" s="1621"/>
      <c r="Q24" s="1623"/>
      <c r="R24" s="1623"/>
      <c r="AA24" s="1620" t="s">
        <v>546</v>
      </c>
      <c r="AC24" s="1620" t="s">
        <v>547</v>
      </c>
      <c r="AD24" s="1620" t="s">
        <v>594</v>
      </c>
      <c r="AH24" s="1620" t="s">
        <v>594</v>
      </c>
      <c r="AK24" s="1620" t="s">
        <v>635</v>
      </c>
      <c r="AL24" s="1620" t="s">
        <v>594</v>
      </c>
      <c r="AP24" s="1620" t="s">
        <v>594</v>
      </c>
      <c r="AY24" s="1620" t="s">
        <v>546</v>
      </c>
      <c r="BA24" s="1620" t="s">
        <v>547</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МУП ЖКХ "Родник"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8491"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8491"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549</v>
      </c>
      <c r="T32" s="2363"/>
      <c r="U32" s="1485"/>
      <c r="V32" s="2377" t="str">
        <f>IF(TITLE_DATE_PR_CHANGE="",IF(TITLE_DATE_PR="","",TITLE_DATE_PR),TITLE_DATE_PR_CHANGE)</f>
        <v>45586</v>
      </c>
      <c r="W32" s="2377"/>
      <c r="X32" s="2377"/>
      <c r="Y32" s="2377"/>
      <c r="Z32" s="2377"/>
      <c r="AA32" s="2377"/>
      <c r="AB32" s="2377"/>
      <c r="AC32" s="439"/>
      <c r="AD32" s="2377" t="str">
        <f>IF(TITLE_DATE_PR_CHANGE="",IF(TITLE_DATE_PR="","",TITLE_DATE_PR),TITLE_DATE_PR_CHANGE)</f>
        <v>45586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8491"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550</v>
      </c>
      <c r="T33" s="2363"/>
      <c r="U33" s="1485"/>
      <c r="V33" s="2364" t="str">
        <f>IF(TITLE_NUMBER_PR_CHANGE="",IF(TITLE_NUMBER_PR="","",TITLE_NUMBER_PR),TITLE_NUMBER_PR_CHANGE)</f>
        <v>1577</v>
      </c>
      <c r="W33" s="2364"/>
      <c r="X33" s="2364"/>
      <c r="Y33" s="2364"/>
      <c r="Z33" s="2364"/>
      <c r="AA33" s="2364"/>
      <c r="AB33" s="2364"/>
      <c r="AC33" s="439"/>
      <c r="AD33" s="2364" t="str">
        <f>IF(TITLE_NUMBER_PR_CHANGE="",IF(TITLE_NUMBER_PR="","",TITLE_NUMBER_PR),TITLE_NUMBER_PR_CHANGE)</f>
        <v>1577</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8491"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8491" customFormat="1" customHeight="1" ht="18.75">
      <c r="A36" s="1481"/>
      <c r="B36" s="1481"/>
      <c r="C36" s="1481"/>
      <c r="D36" s="1481"/>
      <c r="E36" s="1481"/>
      <c r="F36" s="1481"/>
      <c r="G36" s="1481"/>
      <c r="H36" s="1481"/>
      <c r="I36" s="1481"/>
      <c r="J36" s="1481"/>
      <c r="K36" s="1481"/>
      <c r="L36" s="1482"/>
      <c r="M36" s="1481"/>
      <c r="N36" s="1481"/>
      <c r="O36" s="1481"/>
      <c r="P36" s="1481"/>
      <c r="Q36" s="1481"/>
      <c r="S36" s="2363" t="s">
        <v>549</v>
      </c>
      <c r="T36" s="2363"/>
      <c r="U36" s="1485"/>
      <c r="V36" s="2377" t="str">
        <f>IF(TITLE_DATE_PR_CHANGE="",IF(TITLE_DATE_PR="","",TITLE_DATE_PR),TITLE_DATE_PR_CHANGE)</f>
        <v>45586</v>
      </c>
      <c r="W36" s="2377"/>
      <c r="X36" s="2377"/>
      <c r="Y36" s="2377"/>
      <c r="Z36" s="2377"/>
      <c r="AA36" s="2377"/>
      <c r="AB36" s="2377"/>
      <c r="AC36" s="439"/>
      <c r="AD36" s="2377" t="str">
        <f>IF(TITLE_DATE_PR_CHANGE="",IF(TITLE_DATE_PR="","",TITLE_DATE_PR),TITLE_DATE_PR_CHANGE)</f>
        <v>45586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8491" customFormat="1" customHeight="1" ht="18.75">
      <c r="A37" s="1481"/>
      <c r="B37" s="1481"/>
      <c r="C37" s="1481"/>
      <c r="D37" s="1481"/>
      <c r="E37" s="1481"/>
      <c r="F37" s="1481"/>
      <c r="G37" s="1481"/>
      <c r="H37" s="1481"/>
      <c r="I37" s="1481"/>
      <c r="J37" s="1481"/>
      <c r="K37" s="1481"/>
      <c r="L37" s="1482"/>
      <c r="M37" s="1481"/>
      <c r="N37" s="1481"/>
      <c r="O37" s="1481"/>
      <c r="P37" s="1481"/>
      <c r="Q37" s="1481"/>
      <c r="S37" s="2363" t="s">
        <v>550</v>
      </c>
      <c r="T37" s="2363"/>
      <c r="U37" s="1485"/>
      <c r="V37" s="2364" t="str">
        <f>IF(TITLE_NUMBER_PR_CHANGE="",IF(TITLE_NUMBER_PR="","",TITLE_NUMBER_PR),TITLE_NUMBER_PR_CHANGE)</f>
        <v>1577</v>
      </c>
      <c r="W37" s="2364"/>
      <c r="X37" s="2364"/>
      <c r="Y37" s="2364"/>
      <c r="Z37" s="2364"/>
      <c r="AA37" s="2364"/>
      <c r="AB37" s="2364"/>
      <c r="AC37" s="439"/>
      <c r="AD37" s="2364" t="str">
        <f>IF(TITLE_NUMBER_PR_CHANGE="",IF(TITLE_NUMBER_PR="","",TITLE_NUMBER_PR),TITLE_NUMBER_PR_CHANGE)</f>
        <v>1577</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8491"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553</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553</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428</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429</v>
      </c>
      <c r="BI40" s="1268">
        <v>14</v>
      </c>
    </row>
    <row customHeight="1" ht="14.699999999999998">
      <c r="Q41" s="404"/>
      <c r="R41" s="489"/>
      <c r="S41" s="2386" t="s">
        <v>88</v>
      </c>
      <c r="T41" s="2322" t="s">
        <v>636</v>
      </c>
      <c r="U41" s="414"/>
      <c r="V41" s="2387" t="s">
        <v>555</v>
      </c>
      <c r="W41" s="2388"/>
      <c r="X41" s="2388"/>
      <c r="Y41" s="2388"/>
      <c r="Z41" s="2388"/>
      <c r="AA41" s="2388"/>
      <c r="AB41" s="2389"/>
      <c r="AC41" s="2390" t="s">
        <v>556</v>
      </c>
      <c r="AD41" s="2441" t="s">
        <v>653</v>
      </c>
      <c r="AE41" s="2404"/>
      <c r="AF41" s="2404"/>
      <c r="AG41" s="2442"/>
      <c r="AH41" s="2441" t="s">
        <v>654</v>
      </c>
      <c r="AI41" s="2404"/>
      <c r="AJ41" s="2404"/>
      <c r="AK41" s="2442"/>
      <c r="AL41" s="2441" t="s">
        <v>655</v>
      </c>
      <c r="AM41" s="2404"/>
      <c r="AN41" s="2404"/>
      <c r="AO41" s="2442"/>
      <c r="AP41" s="2441" t="s">
        <v>640</v>
      </c>
      <c r="AQ41" s="2404"/>
      <c r="AR41" s="2404"/>
      <c r="AS41" s="2442"/>
      <c r="AT41" s="2387" t="s">
        <v>555</v>
      </c>
      <c r="AU41" s="2388"/>
      <c r="AV41" s="2388"/>
      <c r="AW41" s="2388"/>
      <c r="AX41" s="2388"/>
      <c r="AY41" s="2388"/>
      <c r="AZ41" s="2389"/>
      <c r="BA41" s="2390" t="s">
        <v>556</v>
      </c>
      <c r="BB41" s="2393" t="s">
        <v>558</v>
      </c>
      <c r="BC41" s="2240"/>
      <c r="BI41" s="1268">
        <v>14</v>
      </c>
    </row>
    <row customHeight="1" ht="35.699999999999996">
      <c r="Q42" s="404"/>
      <c r="R42" s="489"/>
      <c r="S42" s="2386"/>
      <c r="T42" s="2322"/>
      <c r="U42" s="1144"/>
      <c r="V42" s="2305" t="s">
        <v>641</v>
      </c>
      <c r="W42" s="2306"/>
      <c r="X42" s="2305" t="s">
        <v>642</v>
      </c>
      <c r="Y42" s="2306"/>
      <c r="Z42" s="2407" t="s">
        <v>643</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656</v>
      </c>
      <c r="AU42" s="2306"/>
      <c r="AV42" s="2305" t="s">
        <v>657</v>
      </c>
      <c r="AW42" s="2306"/>
      <c r="AX42" s="2407" t="s">
        <v>643</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210</v>
      </c>
      <c r="C44" s="1483" t="s">
        <v>211</v>
      </c>
      <c r="D44" s="1483" t="s">
        <v>212</v>
      </c>
      <c r="E44" s="1477" t="s">
        <v>563</v>
      </c>
      <c r="F44" s="1477" t="s">
        <v>564</v>
      </c>
      <c r="G44" s="1477" t="s">
        <v>565</v>
      </c>
      <c r="H44" s="1477" t="s">
        <v>566</v>
      </c>
      <c r="I44" s="1477" t="s">
        <v>567</v>
      </c>
      <c r="J44" s="1477" t="s">
        <v>568</v>
      </c>
      <c r="K44" s="1477" t="s">
        <v>569</v>
      </c>
      <c r="L44" s="1477" t="s">
        <v>544</v>
      </c>
      <c r="Q44" s="404"/>
      <c r="R44" s="489"/>
      <c r="S44" s="2386"/>
      <c r="T44" s="2322"/>
      <c r="U44" s="415"/>
      <c r="V44" s="1592" t="s">
        <v>603</v>
      </c>
      <c r="W44" s="1592" t="s">
        <v>604</v>
      </c>
      <c r="X44" s="1592" t="s">
        <v>603</v>
      </c>
      <c r="Y44" s="1592" t="s">
        <v>604</v>
      </c>
      <c r="Z44" s="1602" t="s">
        <v>572</v>
      </c>
      <c r="AA44" s="2383" t="s">
        <v>573</v>
      </c>
      <c r="AB44" s="2384"/>
      <c r="AC44" s="2392"/>
      <c r="AD44" s="2446"/>
      <c r="AE44" s="2447"/>
      <c r="AF44" s="2447"/>
      <c r="AG44" s="2448"/>
      <c r="AH44" s="2446"/>
      <c r="AI44" s="2447"/>
      <c r="AJ44" s="2447"/>
      <c r="AK44" s="2448"/>
      <c r="AL44" s="2446"/>
      <c r="AM44" s="2447"/>
      <c r="AN44" s="2447"/>
      <c r="AO44" s="2448"/>
      <c r="AP44" s="2446"/>
      <c r="AQ44" s="2447"/>
      <c r="AR44" s="2447"/>
      <c r="AS44" s="2448"/>
      <c r="AT44" s="1592" t="s">
        <v>603</v>
      </c>
      <c r="AU44" s="1592" t="s">
        <v>604</v>
      </c>
      <c r="AV44" s="1592" t="s">
        <v>603</v>
      </c>
      <c r="AW44" s="1592" t="s">
        <v>604</v>
      </c>
      <c r="AX44" s="1602" t="s">
        <v>572</v>
      </c>
      <c r="AY44" s="2383" t="s">
        <v>573</v>
      </c>
      <c r="AZ44" s="2384"/>
      <c r="BA44" s="2392"/>
      <c r="BB44" s="2395"/>
      <c r="BC44" s="2240"/>
      <c r="BI44" s="1268">
        <v>14</v>
      </c>
    </row>
    <row s="8962"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187</v>
      </c>
      <c r="T45" s="1368" t="s">
        <v>104</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404</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198</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404</v>
      </c>
      <c r="B47" s="1476" t="s">
        <v>405</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525</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526</v>
      </c>
      <c r="BE47" s="613"/>
      <c r="BF47" s="613" t="str">
        <f>IF(T47="","",T47)</f>
        <v>Территория действия тарифа</v>
      </c>
      <c r="BG47" s="613"/>
      <c r="BH47" s="613"/>
      <c r="BI47" s="1268">
        <v>21</v>
      </c>
    </row>
    <row customHeight="1" ht="35.699999999999996">
      <c r="A48" s="1476" t="s">
        <v>404</v>
      </c>
      <c r="B48" s="1476" t="s">
        <v>405</v>
      </c>
      <c r="C48" s="1476" t="s">
        <v>406</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645</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646</v>
      </c>
      <c r="BE48" s="613"/>
      <c r="BF48" s="613" t="str">
        <f>IF(T48="","",T48)</f>
        <v>Наименование централизованной системы водоотведения</v>
      </c>
      <c r="BG48" s="613"/>
      <c r="BH48" s="613"/>
      <c r="BI48" s="1268">
        <v>34</v>
      </c>
    </row>
    <row s="8355" customFormat="1" customHeight="1" ht="0">
      <c r="A49" s="1456" t="s">
        <v>404</v>
      </c>
      <c r="B49" s="1456" t="s">
        <v>405</v>
      </c>
      <c r="C49" s="1456" t="s">
        <v>406</v>
      </c>
      <c r="D49" s="1456" t="s">
        <v>658</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530</v>
      </c>
      <c r="BE49" s="613"/>
      <c r="BF49" s="613" t="str">
        <f>IF(T49="","",T49)</f>
        <v/>
      </c>
      <c r="BG49" s="613"/>
      <c r="BH49" s="613"/>
      <c r="BI49" s="624">
        <v>0</v>
      </c>
    </row>
    <row s="8355" customFormat="1" customHeight="1" ht="0">
      <c r="A50" s="1456" t="s">
        <v>404</v>
      </c>
      <c r="B50" s="1456" t="s">
        <v>405</v>
      </c>
      <c r="C50" s="1456" t="s">
        <v>406</v>
      </c>
      <c r="D50" s="1456" t="s">
        <v>658</v>
      </c>
      <c r="E50" s="2372"/>
      <c r="F50" s="2372"/>
      <c r="G50" s="2372"/>
      <c r="H50" s="2372"/>
      <c r="I50" s="2369" t="str">
        <f>S49&amp;".1"</f>
        <v>.1</v>
      </c>
      <c r="J50" s="1456"/>
      <c r="K50" s="1456"/>
      <c r="L50" s="1459" t="s">
        <v>531</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8355" customFormat="1" customHeight="1" ht="0">
      <c r="A51" s="1456" t="s">
        <v>404</v>
      </c>
      <c r="B51" s="1456" t="s">
        <v>405</v>
      </c>
      <c r="C51" s="1456" t="s">
        <v>406</v>
      </c>
      <c r="D51" s="1456" t="s">
        <v>658</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404</v>
      </c>
      <c r="B52" s="1476" t="s">
        <v>405</v>
      </c>
      <c r="C52" s="1476" t="s">
        <v>406</v>
      </c>
      <c r="D52" s="1476" t="s">
        <v>658</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99">
        <v>1</v>
      </c>
      <c r="AS52" s="1605" t="s">
        <v>28</v>
      </c>
      <c r="AT52" s="864"/>
      <c r="AU52" s="1370"/>
      <c r="AV52" s="864"/>
      <c r="AW52" s="1370"/>
      <c r="AX52" s="1847"/>
      <c r="AY52" s="1582" t="s">
        <v>66</v>
      </c>
      <c r="AZ52" s="1847"/>
      <c r="BA52" s="1582" t="s">
        <v>66</v>
      </c>
      <c r="BB52" s="1461"/>
      <c r="BC52" s="2366" t="s">
        <v>630</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631</v>
      </c>
      <c r="AT53" s="1506"/>
      <c r="AU53" s="1609"/>
      <c r="AV53" s="1506"/>
      <c r="AW53" s="1609"/>
      <c r="AX53" s="1506"/>
      <c r="AY53" s="1506"/>
      <c r="AZ53" s="1506"/>
      <c r="BA53" s="1506"/>
      <c r="BB53" s="1510"/>
      <c r="BC53" s="2367"/>
      <c r="BE53" s="613"/>
      <c r="BF53" s="613"/>
      <c r="BG53" s="613"/>
      <c r="BH53" s="613"/>
      <c r="BI53" s="1268">
        <v>11</v>
      </c>
    </row>
    <row customHeight="1" ht="11.549999999999999">
      <c r="A54" s="1476" t="s">
        <v>404</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651</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404</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652</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404</v>
      </c>
      <c r="B56" s="1476" t="s">
        <v>405</v>
      </c>
      <c r="C56" s="1476" t="s">
        <v>406</v>
      </c>
      <c r="D56" s="1476" t="s">
        <v>658</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634</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404</v>
      </c>
      <c r="B57" s="1476" t="s">
        <v>405</v>
      </c>
      <c r="C57" s="1476" t="s">
        <v>406</v>
      </c>
      <c r="D57" s="1476" t="s">
        <v>658</v>
      </c>
      <c r="E57" s="2372"/>
      <c r="F57" s="2372"/>
      <c r="G57" s="2372"/>
      <c r="H57" s="2372"/>
      <c r="I57" s="2399"/>
      <c r="J57" s="2369"/>
      <c r="K57" s="1476"/>
      <c r="L57" s="1477"/>
      <c r="P57" s="2370"/>
      <c r="Q57" s="2370"/>
      <c r="R57" s="469"/>
      <c r="S57" s="1391"/>
      <c r="T57" s="400" t="s">
        <v>593</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8355" customFormat="1" customHeight="1" ht="0">
      <c r="A58" s="1456" t="s">
        <v>404</v>
      </c>
      <c r="B58" s="1456" t="s">
        <v>405</v>
      </c>
      <c r="C58" s="1456" t="s">
        <v>406</v>
      </c>
      <c r="D58" s="1456" t="s">
        <v>658</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8355" customFormat="1" customHeight="1" ht="0">
      <c r="A59" s="1456" t="s">
        <v>404</v>
      </c>
      <c r="B59" s="1456" t="s">
        <v>405</v>
      </c>
      <c r="C59" s="1456" t="s">
        <v>406</v>
      </c>
      <c r="D59" s="1456" t="s">
        <v>658</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8355" customFormat="1" customHeight="1" ht="0">
      <c r="A60" s="1456" t="s">
        <v>404</v>
      </c>
      <c r="B60" s="1456" t="s">
        <v>405</v>
      </c>
      <c r="C60" s="1456" t="s">
        <v>406</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8355" customFormat="1" customHeight="1" ht="0">
      <c r="A61" s="1456" t="s">
        <v>404</v>
      </c>
      <c r="B61" s="1456" t="s">
        <v>405</v>
      </c>
      <c r="C61" s="1427"/>
      <c r="D61" s="1427"/>
      <c r="E61" s="2372"/>
      <c r="F61" s="2371"/>
      <c r="G61" s="1427"/>
      <c r="H61" s="1427"/>
      <c r="I61" s="1427"/>
      <c r="J61" s="1427"/>
      <c r="K61" s="1427"/>
      <c r="L61" s="1607"/>
      <c r="M61" s="1434"/>
      <c r="N61" s="1434"/>
      <c r="P61" s="1429"/>
      <c r="Q61" s="1430"/>
      <c r="R61" s="1429"/>
      <c r="S61" s="1435"/>
      <c r="T61" s="1438" t="s">
        <v>298</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8355" customFormat="1" customHeight="1" ht="0">
      <c r="A62" s="1456" t="s">
        <v>404</v>
      </c>
      <c r="B62" s="1456"/>
      <c r="C62" s="1456"/>
      <c r="D62" s="1456"/>
      <c r="E62" s="2371"/>
      <c r="F62" s="1456"/>
      <c r="G62" s="1456"/>
      <c r="H62" s="1456"/>
      <c r="I62" s="1456"/>
      <c r="J62" s="1456"/>
      <c r="K62" s="1456"/>
      <c r="L62" s="1459"/>
      <c r="M62" s="1434"/>
      <c r="N62" s="1434"/>
      <c r="O62" s="631"/>
      <c r="P62" s="493"/>
      <c r="Q62" s="1457"/>
      <c r="R62" s="493"/>
      <c r="S62" s="1435"/>
      <c r="T62" s="1438" t="s">
        <v>355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8355"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356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DD6812-23FF-6C9C-3721-6915C21C2C6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354" width="10.57421875" hidden="1"/>
    <col min="2" max="2" style="8354" width="11.00390625" hidden="1" customWidth="1"/>
    <col min="3" max="3" style="8354" width="10.57421875" hidden="1"/>
    <col min="4" max="4" style="8354" width="11.8515625" hidden="1" customWidth="1"/>
    <col min="5" max="5" style="8354" width="10.00390625" hidden="1" customWidth="1"/>
    <col min="6" max="6" style="8354" width="8.7109375" hidden="1" customWidth="1"/>
    <col min="7" max="7" style="8354" width="7.57421875" hidden="1" customWidth="1"/>
    <col min="8" max="8" style="8354" width="11.421875" hidden="1" customWidth="1"/>
    <col min="9" max="9" style="8354" width="14.140625" hidden="1" customWidth="1"/>
    <col min="10" max="10" style="8354" width="9.8515625" hidden="1" customWidth="1"/>
    <col min="11" max="11" style="8354" width="14.7109375" hidden="1" customWidth="1"/>
    <col min="12" max="12" style="9204" width="19.140625" hidden="1" customWidth="1"/>
    <col min="13" max="14" style="9205" width="12.28125" hidden="1" customWidth="1"/>
    <col min="15" max="15" style="9205" width="23.421875" hidden="1" customWidth="1"/>
    <col min="16" max="16" style="9206" width="3.00390625" customWidth="1"/>
    <col min="17" max="18" style="9207" width="3.00390625" customWidth="1"/>
    <col min="19" max="19" style="9208" width="12.00390625" customWidth="1"/>
    <col min="20" max="20" style="8273" width="35.00390625" customWidth="1"/>
    <col min="21" max="21" style="8273" width="0.140625" customWidth="1"/>
    <col min="22" max="28" style="8273" width="19.7109375" hidden="1" customWidth="1"/>
    <col min="29" max="29" style="8273" width="11.7109375" hidden="1" customWidth="1"/>
    <col min="30" max="30" style="8273" width="3.7109375" hidden="1" customWidth="1"/>
    <col min="31" max="31" style="8273" width="11.7109375" hidden="1" customWidth="1"/>
    <col min="32" max="32" style="8273" width="8.57421875" hidden="1" customWidth="1"/>
    <col min="33" max="33" style="8273" width="19.7109375" customWidth="1"/>
    <col min="34" max="39" style="8273" width="19.00390625" customWidth="1"/>
    <col min="40" max="40" style="8273" width="11.00390625" customWidth="1"/>
    <col min="41" max="41" style="8273" width="3.7109375" customWidth="1"/>
    <col min="42" max="42" style="8273" width="11.00390625" customWidth="1"/>
    <col min="43" max="43" style="8273" width="8.57421875" hidden="1" customWidth="1"/>
    <col min="44" max="44" style="8273" width="4.00390625" customWidth="1"/>
    <col min="45" max="45" style="8273" width="115.00390625" customWidth="1"/>
    <col min="46" max="50" style="8355" width="10.00390625" customWidth="1"/>
    <col min="51" max="51" style="8273"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198</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525</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526</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659</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660</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608</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609</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534</v>
      </c>
      <c r="P6" s="2370"/>
      <c r="Q6" s="2370">
        <v>1</v>
      </c>
      <c r="R6" s="470"/>
      <c r="S6" s="1606">
        <f>$J6</f>
      </c>
      <c r="T6" s="399" t="s">
        <v>535</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610</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66</v>
      </c>
      <c r="AE7" s="2378"/>
      <c r="AF7" s="2220" t="s">
        <v>66</v>
      </c>
      <c r="AG7" s="864"/>
      <c r="AH7" s="864"/>
      <c r="AI7" s="864"/>
      <c r="AJ7" s="864"/>
      <c r="AK7" s="864"/>
      <c r="AL7" s="864"/>
      <c r="AM7" s="864"/>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611</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612</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540</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613</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8355"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298</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835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355</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66</v>
      </c>
      <c r="AP15" s="2380"/>
      <c r="AQ15" s="2381" t="s">
        <v>66</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8354" customFormat="1" customHeight="1" ht="22.5" hidden="1">
      <c r="L18" s="1591"/>
      <c r="M18" s="1475"/>
      <c r="N18" s="1475"/>
      <c r="O18" s="1480" t="s">
        <v>543</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8354"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8354" customFormat="1" customHeight="1" ht="12" hidden="1">
      <c r="L20" s="1591"/>
      <c r="M20" s="1475"/>
      <c r="N20" s="1475"/>
      <c r="O20" s="1477" t="s">
        <v>544</v>
      </c>
      <c r="P20" s="1475"/>
      <c r="Q20" s="1555"/>
      <c r="R20" s="1555"/>
      <c r="S20" s="842"/>
      <c r="T20" s="1273" t="s">
        <v>545</v>
      </c>
      <c r="W20" s="1479"/>
      <c r="X20" s="1479"/>
      <c r="Y20" s="1479"/>
      <c r="Z20" s="1479"/>
      <c r="AA20" s="1479"/>
      <c r="AB20" s="1479"/>
      <c r="AD20" s="299" t="s">
        <v>546</v>
      </c>
      <c r="AF20" s="299" t="s">
        <v>547</v>
      </c>
      <c r="AG20" s="1273" t="s">
        <v>545</v>
      </c>
      <c r="AH20" s="1479"/>
      <c r="AI20" s="1479"/>
      <c r="AJ20" s="1479"/>
      <c r="AK20" s="1479"/>
      <c r="AL20" s="1479"/>
      <c r="AO20" s="299" t="s">
        <v>548</v>
      </c>
      <c r="AQ20" s="299" t="s">
        <v>547</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МУП ЖКХ "Родник"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8491"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8491" customFormat="1" customHeight="1" ht="18.75" hidden="1">
      <c r="A28" s="1481"/>
      <c r="B28" s="1481"/>
      <c r="C28" s="1481"/>
      <c r="D28" s="1481"/>
      <c r="E28" s="1481"/>
      <c r="F28" s="1481"/>
      <c r="G28" s="1481"/>
      <c r="H28" s="1481"/>
      <c r="I28" s="1481"/>
      <c r="J28" s="1481"/>
      <c r="K28" s="1481"/>
      <c r="L28" s="1482"/>
      <c r="M28" s="1481"/>
      <c r="N28" s="1481"/>
      <c r="O28" s="1481"/>
      <c r="S28" s="2363" t="s">
        <v>549</v>
      </c>
      <c r="T28" s="2363"/>
      <c r="U28" s="1485"/>
      <c r="V28" s="2377" t="str">
        <f>IF(TITLE_DATE_PR_CHANGE="",IF(TITLE_DATE_PR="","",TITLE_DATE_PR),TITLE_DATE_PR_CHANGE)</f>
        <v>45586</v>
      </c>
      <c r="W28" s="2377"/>
      <c r="X28" s="2377"/>
      <c r="Y28" s="2377"/>
      <c r="Z28" s="2377"/>
      <c r="AA28" s="2377"/>
      <c r="AB28" s="2377"/>
      <c r="AC28" s="2377"/>
      <c r="AD28" s="2377"/>
      <c r="AE28" s="2377"/>
      <c r="AF28" s="439"/>
      <c r="AG28" s="2377" t="str">
        <f>IF(TITLE_DATE_PR_CHANGE="",IF(TITLE_DATE_PR="","",TITLE_DATE_PR),TITLE_DATE_PR_CHANGE)</f>
        <v>45586</v>
      </c>
      <c r="AH28" s="2377"/>
      <c r="AI28" s="2377"/>
      <c r="AJ28" s="2377"/>
      <c r="AK28" s="2377"/>
      <c r="AL28" s="2377"/>
      <c r="AM28" s="2377"/>
      <c r="AN28" s="2377"/>
      <c r="AO28" s="2377"/>
      <c r="AP28" s="2377"/>
      <c r="AQ28" s="439"/>
      <c r="AR28" s="439"/>
      <c r="AS28" s="393"/>
      <c r="AT28" s="481"/>
      <c r="AU28" s="481"/>
      <c r="AV28" s="481"/>
      <c r="AW28" s="481"/>
      <c r="AX28" s="481"/>
      <c r="AY28" s="531">
        <v>0</v>
      </c>
    </row>
    <row s="8491" customFormat="1" customHeight="1" ht="18.75" hidden="1">
      <c r="A29" s="1481"/>
      <c r="B29" s="1481"/>
      <c r="C29" s="1481"/>
      <c r="D29" s="1481"/>
      <c r="E29" s="1481"/>
      <c r="F29" s="1481"/>
      <c r="G29" s="1481"/>
      <c r="H29" s="1481"/>
      <c r="I29" s="1481"/>
      <c r="J29" s="1481"/>
      <c r="K29" s="1481"/>
      <c r="L29" s="1482"/>
      <c r="M29" s="1481"/>
      <c r="N29" s="1481"/>
      <c r="O29" s="1481"/>
      <c r="S29" s="2363" t="s">
        <v>550</v>
      </c>
      <c r="T29" s="2363"/>
      <c r="U29" s="1485"/>
      <c r="V29" s="2364" t="str">
        <f>IF(TITLE_NUMBER_PR_CHANGE="",IF(TITLE_NUMBER_PR="","",TITLE_NUMBER_PR),TITLE_NUMBER_PR_CHANGE)</f>
        <v>1577</v>
      </c>
      <c r="W29" s="2364"/>
      <c r="X29" s="2364"/>
      <c r="Y29" s="2364"/>
      <c r="Z29" s="2364"/>
      <c r="AA29" s="2364"/>
      <c r="AB29" s="2364"/>
      <c r="AC29" s="2364"/>
      <c r="AD29" s="2364"/>
      <c r="AE29" s="2364"/>
      <c r="AF29" s="439"/>
      <c r="AG29" s="2364" t="str">
        <f>IF(TITLE_NUMBER_PR_CHANGE="",IF(TITLE_NUMBER_PR="","",TITLE_NUMBER_PR),TITLE_NUMBER_PR_CHANGE)</f>
        <v>1577</v>
      </c>
      <c r="AH29" s="2364"/>
      <c r="AI29" s="2364"/>
      <c r="AJ29" s="2364"/>
      <c r="AK29" s="2364"/>
      <c r="AL29" s="2364"/>
      <c r="AM29" s="2364"/>
      <c r="AN29" s="2364"/>
      <c r="AO29" s="2364"/>
      <c r="AP29" s="2364"/>
      <c r="AQ29" s="439"/>
      <c r="AR29" s="439"/>
      <c r="AS29" s="393"/>
      <c r="AT29" s="481"/>
      <c r="AU29" s="481"/>
      <c r="AV29" s="481"/>
      <c r="AW29" s="481"/>
      <c r="AX29" s="481"/>
      <c r="AY29" s="531">
        <v>0</v>
      </c>
    </row>
    <row s="8491"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8491" customFormat="1" customHeight="1" ht="18.75">
      <c r="A32" s="1481"/>
      <c r="B32" s="1481"/>
      <c r="C32" s="1481"/>
      <c r="D32" s="1481"/>
      <c r="E32" s="1481"/>
      <c r="F32" s="1481"/>
      <c r="G32" s="1481"/>
      <c r="H32" s="1481"/>
      <c r="I32" s="1481"/>
      <c r="J32" s="1481"/>
      <c r="K32" s="1481"/>
      <c r="L32" s="1482"/>
      <c r="M32" s="1481"/>
      <c r="N32" s="1481"/>
      <c r="O32" s="1481"/>
      <c r="S32" s="2363" t="s">
        <v>551</v>
      </c>
      <c r="T32" s="2363"/>
      <c r="U32" s="1485"/>
      <c r="V32" s="2377" t="str">
        <f>IF(TITLE_DATE_PR_CHANGE="",IF(TITLE_DATE_PR="","",TITLE_DATE_PR),TITLE_DATE_PR_CHANGE)</f>
        <v>45586</v>
      </c>
      <c r="W32" s="2377"/>
      <c r="X32" s="2377"/>
      <c r="Y32" s="2377"/>
      <c r="Z32" s="2377"/>
      <c r="AA32" s="2377"/>
      <c r="AB32" s="2377"/>
      <c r="AC32" s="2377"/>
      <c r="AD32" s="2377"/>
      <c r="AE32" s="2377"/>
      <c r="AF32" s="439"/>
      <c r="AG32" s="2377" t="str">
        <f>IF(TITLE_DATE_PR_CHANGE="",IF(TITLE_DATE_PR="","",TITLE_DATE_PR),TITLE_DATE_PR_CHANGE)</f>
        <v>45586</v>
      </c>
      <c r="AH32" s="2377"/>
      <c r="AI32" s="2377"/>
      <c r="AJ32" s="2377"/>
      <c r="AK32" s="2377"/>
      <c r="AL32" s="2377"/>
      <c r="AM32" s="2377"/>
      <c r="AN32" s="2377"/>
      <c r="AO32" s="2377"/>
      <c r="AP32" s="2377"/>
      <c r="AQ32" s="439"/>
      <c r="AR32" s="439"/>
      <c r="AS32" s="393"/>
      <c r="AT32" s="481"/>
      <c r="AU32" s="481"/>
      <c r="AV32" s="481"/>
      <c r="AW32" s="481"/>
      <c r="AX32" s="481"/>
      <c r="AY32" s="531">
        <v>0</v>
      </c>
    </row>
    <row s="8491" customFormat="1" customHeight="1" ht="18.75">
      <c r="A33" s="1481"/>
      <c r="B33" s="1481"/>
      <c r="C33" s="1481"/>
      <c r="D33" s="1481"/>
      <c r="E33" s="1481"/>
      <c r="F33" s="1481"/>
      <c r="G33" s="1481"/>
      <c r="H33" s="1481"/>
      <c r="I33" s="1481"/>
      <c r="J33" s="1481"/>
      <c r="K33" s="1481"/>
      <c r="L33" s="1482"/>
      <c r="M33" s="1481"/>
      <c r="N33" s="1481"/>
      <c r="O33" s="1481"/>
      <c r="S33" s="2363" t="s">
        <v>552</v>
      </c>
      <c r="T33" s="2363"/>
      <c r="U33" s="1485"/>
      <c r="V33" s="2364" t="str">
        <f>IF(TITLE_NUMBER_PR_CHANGE="",IF(TITLE_NUMBER_PR="","",TITLE_NUMBER_PR),TITLE_NUMBER_PR_CHANGE)</f>
        <v>1577</v>
      </c>
      <c r="W33" s="2364"/>
      <c r="X33" s="2364"/>
      <c r="Y33" s="2364"/>
      <c r="Z33" s="2364"/>
      <c r="AA33" s="2364"/>
      <c r="AB33" s="2364"/>
      <c r="AC33" s="2364"/>
      <c r="AD33" s="2364"/>
      <c r="AE33" s="2364"/>
      <c r="AF33" s="439"/>
      <c r="AG33" s="2364" t="str">
        <f>IF(TITLE_NUMBER_PR_CHANGE="",IF(TITLE_NUMBER_PR="","",TITLE_NUMBER_PR),TITLE_NUMBER_PR_CHANGE)</f>
        <v>1577</v>
      </c>
      <c r="AH33" s="2364"/>
      <c r="AI33" s="2364"/>
      <c r="AJ33" s="2364"/>
      <c r="AK33" s="2364"/>
      <c r="AL33" s="2364"/>
      <c r="AM33" s="2364"/>
      <c r="AN33" s="2364"/>
      <c r="AO33" s="2364"/>
      <c r="AP33" s="2364"/>
      <c r="AQ33" s="439"/>
      <c r="AR33" s="439"/>
      <c r="AS33" s="393"/>
      <c r="AT33" s="481"/>
      <c r="AU33" s="481"/>
      <c r="AV33" s="481"/>
      <c r="AW33" s="481"/>
      <c r="AX33" s="481"/>
      <c r="AY33" s="531">
        <v>0</v>
      </c>
    </row>
    <row s="8491"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553</v>
      </c>
      <c r="AG34" s="439"/>
      <c r="AH34" s="1748"/>
      <c r="AI34" s="1748"/>
      <c r="AJ34" s="1748"/>
      <c r="AK34" s="1748"/>
      <c r="AL34" s="1748"/>
      <c r="AM34" s="439"/>
      <c r="AN34" s="439"/>
      <c r="AO34" s="439"/>
      <c r="AP34" s="439"/>
      <c r="AQ34" s="391" t="s">
        <v>553</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428</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429</v>
      </c>
      <c r="AY36" s="1268">
        <v>14</v>
      </c>
    </row>
    <row customHeight="1" ht="14.699999999999998">
      <c r="Q37" s="489"/>
      <c r="R37" s="489"/>
      <c r="S37" s="2386" t="s">
        <v>88</v>
      </c>
      <c r="T37" s="2322" t="s">
        <v>554</v>
      </c>
      <c r="U37" s="414"/>
      <c r="V37" s="2387" t="s">
        <v>555</v>
      </c>
      <c r="W37" s="2404"/>
      <c r="X37" s="2404"/>
      <c r="Y37" s="2404"/>
      <c r="Z37" s="2404"/>
      <c r="AA37" s="2404"/>
      <c r="AB37" s="2404"/>
      <c r="AC37" s="2388"/>
      <c r="AD37" s="2388"/>
      <c r="AE37" s="2389"/>
      <c r="AF37" s="2390" t="s">
        <v>556</v>
      </c>
      <c r="AG37" s="2387" t="s">
        <v>555</v>
      </c>
      <c r="AH37" s="2388"/>
      <c r="AI37" s="2388"/>
      <c r="AJ37" s="2388"/>
      <c r="AK37" s="2388"/>
      <c r="AL37" s="2388"/>
      <c r="AM37" s="2388"/>
      <c r="AN37" s="2388"/>
      <c r="AO37" s="2388"/>
      <c r="AP37" s="2389"/>
      <c r="AQ37" s="2390" t="s">
        <v>557</v>
      </c>
      <c r="AR37" s="2393" t="s">
        <v>558</v>
      </c>
      <c r="AS37" s="2240"/>
      <c r="AY37" s="1268">
        <v>14</v>
      </c>
    </row>
    <row customHeight="1" ht="19.95">
      <c r="Q38" s="489"/>
      <c r="R38" s="489"/>
      <c r="S38" s="2386"/>
      <c r="T38" s="2322"/>
      <c r="U38" s="1144"/>
      <c r="V38" s="2479" t="s">
        <v>661</v>
      </c>
      <c r="W38" s="2478" t="s">
        <v>662</v>
      </c>
      <c r="X38" s="2478"/>
      <c r="Y38" s="2478"/>
      <c r="Z38" s="2478" t="s">
        <v>663</v>
      </c>
      <c r="AA38" s="2478"/>
      <c r="AB38" s="2478"/>
      <c r="AC38" s="2407" t="s">
        <v>562</v>
      </c>
      <c r="AD38" s="2426"/>
      <c r="AE38" s="2427"/>
      <c r="AF38" s="2391"/>
      <c r="AG38" s="2479" t="s">
        <v>661</v>
      </c>
      <c r="AH38" s="2478" t="s">
        <v>662</v>
      </c>
      <c r="AI38" s="2478"/>
      <c r="AJ38" s="2478"/>
      <c r="AK38" s="2478" t="s">
        <v>663</v>
      </c>
      <c r="AL38" s="2478"/>
      <c r="AM38" s="2478"/>
      <c r="AN38" s="2407" t="s">
        <v>562</v>
      </c>
      <c r="AO38" s="2426"/>
      <c r="AP38" s="2427"/>
      <c r="AQ38" s="2391"/>
      <c r="AR38" s="2394"/>
      <c r="AS38" s="2240"/>
      <c r="AY38" s="1268">
        <v>19</v>
      </c>
    </row>
    <row s="8273"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664</v>
      </c>
      <c r="X39" s="2478" t="s">
        <v>665</v>
      </c>
      <c r="Y39" s="2478"/>
      <c r="Z39" s="2478" t="s">
        <v>666</v>
      </c>
      <c r="AA39" s="2478" t="s">
        <v>665</v>
      </c>
      <c r="AB39" s="2478"/>
      <c r="AC39" s="2408"/>
      <c r="AD39" s="2428"/>
      <c r="AE39" s="2429"/>
      <c r="AF39" s="2391"/>
      <c r="AG39" s="2479"/>
      <c r="AH39" s="2478" t="s">
        <v>664</v>
      </c>
      <c r="AI39" s="2478" t="s">
        <v>665</v>
      </c>
      <c r="AJ39" s="2478"/>
      <c r="AK39" s="2478" t="s">
        <v>666</v>
      </c>
      <c r="AL39" s="2478" t="s">
        <v>665</v>
      </c>
      <c r="AM39" s="2478"/>
      <c r="AN39" s="2408"/>
      <c r="AO39" s="2428"/>
      <c r="AP39" s="2429"/>
      <c r="AQ39" s="2391"/>
      <c r="AR39" s="2394"/>
      <c r="AS39" s="2240"/>
      <c r="AT39" s="1749"/>
      <c r="AU39" s="1749"/>
      <c r="AV39" s="1749"/>
      <c r="AW39" s="1749"/>
      <c r="AX39" s="1749"/>
      <c r="AY39" s="1744">
        <v>19</v>
      </c>
    </row>
    <row customHeight="1" ht="61.949999999999996">
      <c r="A40" s="1483"/>
      <c r="B40" s="1483" t="s">
        <v>210</v>
      </c>
      <c r="C40" s="1483" t="s">
        <v>211</v>
      </c>
      <c r="D40" s="1483" t="s">
        <v>212</v>
      </c>
      <c r="E40" s="1477" t="s">
        <v>563</v>
      </c>
      <c r="F40" s="1477" t="s">
        <v>564</v>
      </c>
      <c r="G40" s="1477" t="s">
        <v>565</v>
      </c>
      <c r="H40" s="1477"/>
      <c r="I40" s="1477" t="s">
        <v>615</v>
      </c>
      <c r="J40" s="1477" t="s">
        <v>568</v>
      </c>
      <c r="K40" s="1477" t="s">
        <v>616</v>
      </c>
      <c r="L40" s="1477" t="s">
        <v>544</v>
      </c>
      <c r="Q40" s="489"/>
      <c r="R40" s="489"/>
      <c r="S40" s="2386"/>
      <c r="T40" s="2322"/>
      <c r="U40" s="415"/>
      <c r="V40" s="2479"/>
      <c r="W40" s="2478"/>
      <c r="X40" s="2096" t="s">
        <v>667</v>
      </c>
      <c r="Y40" s="2096" t="s">
        <v>668</v>
      </c>
      <c r="Z40" s="2478"/>
      <c r="AA40" s="2096" t="s">
        <v>669</v>
      </c>
      <c r="AB40" s="2096" t="s">
        <v>670</v>
      </c>
      <c r="AC40" s="1602" t="s">
        <v>572</v>
      </c>
      <c r="AD40" s="2383" t="s">
        <v>573</v>
      </c>
      <c r="AE40" s="2384"/>
      <c r="AF40" s="2392"/>
      <c r="AG40" s="2479"/>
      <c r="AH40" s="2478"/>
      <c r="AI40" s="2096" t="s">
        <v>667</v>
      </c>
      <c r="AJ40" s="2096" t="s">
        <v>668</v>
      </c>
      <c r="AK40" s="2478"/>
      <c r="AL40" s="2096" t="s">
        <v>669</v>
      </c>
      <c r="AM40" s="2096" t="s">
        <v>670</v>
      </c>
      <c r="AN40" s="1602" t="s">
        <v>572</v>
      </c>
      <c r="AO40" s="2383" t="s">
        <v>573</v>
      </c>
      <c r="AP40" s="2384"/>
      <c r="AQ40" s="2392"/>
      <c r="AR40" s="2395"/>
      <c r="AS40" s="2240"/>
      <c r="AY40" s="1268">
        <v>59</v>
      </c>
    </row>
    <row s="8962"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187</v>
      </c>
      <c r="T41" s="1368" t="s">
        <v>104</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379</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198</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379</v>
      </c>
      <c r="B43" s="1476" t="s">
        <v>380</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525</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526</v>
      </c>
      <c r="AU43" s="613"/>
      <c r="AV43" s="613" t="str">
        <f>IF(T43="","",T43)</f>
        <v>Территория действия тарифа</v>
      </c>
      <c r="AW43" s="613"/>
      <c r="AX43" s="613"/>
      <c r="AY43" s="1268">
        <v>23</v>
      </c>
    </row>
    <row customHeight="1" ht="24">
      <c r="A44" s="1476" t="s">
        <v>379</v>
      </c>
      <c r="B44" s="1476" t="s">
        <v>380</v>
      </c>
      <c r="C44" s="1476" t="s">
        <v>381</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659</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660</v>
      </c>
      <c r="AU44" s="613"/>
      <c r="AV44" s="613" t="str">
        <f>IF(T44="","",T44)</f>
        <v>Наименование централизованной системы горячего водоснабжения</v>
      </c>
      <c r="AW44" s="613"/>
      <c r="AX44" s="613"/>
      <c r="AY44" s="1268">
        <v>23</v>
      </c>
    </row>
    <row customHeight="1" ht="24">
      <c r="A45" s="1476" t="s">
        <v>379</v>
      </c>
      <c r="B45" s="1476" t="s">
        <v>380</v>
      </c>
      <c r="C45" s="1476" t="s">
        <v>381</v>
      </c>
      <c r="D45" s="1476" t="s">
        <v>671</v>
      </c>
      <c r="E45" s="2372"/>
      <c r="F45" s="2372"/>
      <c r="G45" s="2372"/>
      <c r="H45" s="2372"/>
      <c r="I45" s="2369" t="str">
        <f>S44&amp;".1"</f>
        <v>...1</v>
      </c>
      <c r="J45" s="1476"/>
      <c r="K45" s="1476"/>
      <c r="L45" s="1477"/>
      <c r="P45" s="2370">
        <v>1</v>
      </c>
      <c r="Q45" s="1594"/>
      <c r="R45" s="469"/>
      <c r="S45" s="1606" t="str">
        <f>$I45</f>
        <v>...1</v>
      </c>
      <c r="T45" s="398" t="s">
        <v>608</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609</v>
      </c>
      <c r="AU45" s="613"/>
      <c r="AV45" s="613" t="str">
        <f>IF(T45="","",T45)</f>
        <v>Наименование признака дифференциации</v>
      </c>
      <c r="AW45" s="613"/>
      <c r="AX45" s="613"/>
      <c r="AY45" s="1268">
        <v>23</v>
      </c>
    </row>
    <row customHeight="1" ht="24">
      <c r="A46" s="1476" t="s">
        <v>379</v>
      </c>
      <c r="B46" s="1476" t="s">
        <v>380</v>
      </c>
      <c r="C46" s="1476" t="s">
        <v>381</v>
      </c>
      <c r="D46" s="1476" t="s">
        <v>671</v>
      </c>
      <c r="E46" s="2372"/>
      <c r="F46" s="2372"/>
      <c r="G46" s="2372"/>
      <c r="H46" s="2372"/>
      <c r="I46" s="2399"/>
      <c r="J46" s="2369" t="str">
        <f>I45&amp;".1"</f>
        <v>...1.1</v>
      </c>
      <c r="K46" s="1476"/>
      <c r="L46" s="1477" t="s">
        <v>534</v>
      </c>
      <c r="P46" s="2370"/>
      <c r="Q46" s="2370">
        <v>1</v>
      </c>
      <c r="R46" s="470"/>
      <c r="S46" s="1606" t="str">
        <f>$J46</f>
        <v>...1.1</v>
      </c>
      <c r="T46" s="399" t="s">
        <v>535</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610</v>
      </c>
      <c r="AU46" s="613"/>
      <c r="AV46" s="613" t="str">
        <f>IF(T46="","",T46)</f>
        <v>Группа потребителей</v>
      </c>
      <c r="AW46" s="613"/>
      <c r="AX46" s="613"/>
      <c r="AY46" s="1268">
        <v>23</v>
      </c>
    </row>
    <row customHeight="1" ht="24">
      <c r="A47" s="1476" t="s">
        <v>379</v>
      </c>
      <c r="B47" s="1476" t="s">
        <v>380</v>
      </c>
      <c r="C47" s="1476" t="s">
        <v>381</v>
      </c>
      <c r="D47" s="1476" t="s">
        <v>671</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66</v>
      </c>
      <c r="AE47" s="2380"/>
      <c r="AF47" s="2381" t="s">
        <v>66</v>
      </c>
      <c r="AG47" s="864"/>
      <c r="AH47" s="864"/>
      <c r="AI47" s="864"/>
      <c r="AJ47" s="864"/>
      <c r="AK47" s="864"/>
      <c r="AL47" s="864"/>
      <c r="AM47" s="864"/>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379</v>
      </c>
      <c r="B48" s="1476" t="s">
        <v>380</v>
      </c>
      <c r="C48" s="1476" t="s">
        <v>381</v>
      </c>
      <c r="D48" s="1476" t="s">
        <v>671</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379</v>
      </c>
      <c r="B49" s="1476" t="s">
        <v>380</v>
      </c>
      <c r="C49" s="1476" t="s">
        <v>381</v>
      </c>
      <c r="D49" s="1476" t="s">
        <v>671</v>
      </c>
      <c r="E49" s="2372"/>
      <c r="F49" s="2372"/>
      <c r="G49" s="2372"/>
      <c r="H49" s="2372"/>
      <c r="I49" s="2399"/>
      <c r="J49" s="2369"/>
      <c r="K49" s="1476"/>
      <c r="L49" s="1477"/>
      <c r="P49" s="2370"/>
      <c r="Q49" s="2370"/>
      <c r="R49" s="469"/>
      <c r="S49" s="1391"/>
      <c r="T49" s="400" t="s">
        <v>611</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612</v>
      </c>
      <c r="AU49" s="613"/>
      <c r="AV49" s="613" t="str">
        <f>IF(T49="","",T49)</f>
        <v>Добавить значение признака дифференциации</v>
      </c>
      <c r="AW49" s="613"/>
      <c r="AX49" s="613"/>
      <c r="AY49" s="1268">
        <v>20</v>
      </c>
    </row>
    <row customHeight="1" ht="22.049999999999997">
      <c r="A50" s="1476" t="s">
        <v>379</v>
      </c>
      <c r="B50" s="1476" t="s">
        <v>380</v>
      </c>
      <c r="C50" s="1476" t="s">
        <v>381</v>
      </c>
      <c r="D50" s="1476" t="s">
        <v>671</v>
      </c>
      <c r="E50" s="2372"/>
      <c r="F50" s="2372"/>
      <c r="G50" s="2372"/>
      <c r="H50" s="2372"/>
      <c r="I50" s="2369"/>
      <c r="J50" s="1476"/>
      <c r="K50" s="1476"/>
      <c r="L50" s="1477"/>
      <c r="P50" s="2370"/>
      <c r="Q50" s="1594"/>
      <c r="R50" s="469"/>
      <c r="S50" s="1391"/>
      <c r="T50" s="478" t="s">
        <v>540</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379</v>
      </c>
      <c r="B51" s="1476" t="s">
        <v>380</v>
      </c>
      <c r="C51" s="1476" t="s">
        <v>381</v>
      </c>
      <c r="D51" s="1476" t="s">
        <v>671</v>
      </c>
      <c r="E51" s="2372"/>
      <c r="F51" s="2372"/>
      <c r="G51" s="2372"/>
      <c r="H51" s="2371"/>
      <c r="I51" s="1476"/>
      <c r="J51" s="1476"/>
      <c r="K51" s="1476"/>
      <c r="L51" s="1477"/>
      <c r="M51" s="1478"/>
      <c r="N51" s="1478"/>
      <c r="O51" s="650"/>
      <c r="P51" s="473"/>
      <c r="Q51" s="488"/>
      <c r="R51" s="468"/>
      <c r="S51" s="1391"/>
      <c r="T51" s="485" t="s">
        <v>613</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8355" customFormat="1" customHeight="1" ht="0">
      <c r="A52" s="1456" t="s">
        <v>379</v>
      </c>
      <c r="B52" s="1456" t="s">
        <v>380</v>
      </c>
      <c r="C52" s="1427"/>
      <c r="D52" s="1427"/>
      <c r="E52" s="2372"/>
      <c r="F52" s="2371"/>
      <c r="G52" s="1427"/>
      <c r="H52" s="1427"/>
      <c r="I52" s="1427"/>
      <c r="J52" s="1427"/>
      <c r="K52" s="1427"/>
      <c r="L52" s="1607"/>
      <c r="M52" s="1434"/>
      <c r="N52" s="1434"/>
      <c r="P52" s="1429"/>
      <c r="Q52" s="1430"/>
      <c r="R52" s="1429"/>
      <c r="S52" s="1435"/>
      <c r="T52" s="1438" t="s">
        <v>298</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8355" customFormat="1" customHeight="1" ht="0">
      <c r="A53" s="1456" t="s">
        <v>379</v>
      </c>
      <c r="B53" s="1456"/>
      <c r="C53" s="1456"/>
      <c r="D53" s="1456"/>
      <c r="E53" s="2371"/>
      <c r="F53" s="1456"/>
      <c r="G53" s="1456"/>
      <c r="H53" s="1456"/>
      <c r="I53" s="1456"/>
      <c r="J53" s="1456"/>
      <c r="K53" s="1456"/>
      <c r="L53" s="1459"/>
      <c r="M53" s="1434"/>
      <c r="N53" s="1434"/>
      <c r="O53" s="631"/>
      <c r="P53" s="493"/>
      <c r="Q53" s="1457"/>
      <c r="R53" s="493"/>
      <c r="S53" s="1435"/>
      <c r="T53" s="1438" t="s">
        <v>355</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8355"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356</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30DC96-A6EE-18AB-1D73-166319693F0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354" width="10.57421875" hidden="1"/>
    <col min="2" max="2" style="8354" width="11.00390625" hidden="1" customWidth="1"/>
    <col min="3" max="3" style="8354" width="10.57421875" hidden="1"/>
    <col min="4" max="4" style="8354" width="11.8515625" hidden="1" customWidth="1"/>
    <col min="5" max="5" style="8354" width="10.00390625" hidden="1" customWidth="1"/>
    <col min="6" max="6" style="8354" width="8.7109375" hidden="1" customWidth="1"/>
    <col min="7" max="7" style="8354" width="7.57421875" hidden="1" customWidth="1"/>
    <col min="8" max="8" style="8354" width="11.421875" hidden="1" customWidth="1"/>
    <col min="9" max="9" style="8354" width="14.140625" hidden="1" customWidth="1"/>
    <col min="10" max="10" style="8354" width="9.8515625" hidden="1" customWidth="1"/>
    <col min="11" max="11" style="8354" width="14.7109375" hidden="1" customWidth="1"/>
    <col min="12" max="12" style="9204" width="19.140625" hidden="1" customWidth="1"/>
    <col min="13" max="14" style="9205" width="12.28125" hidden="1" customWidth="1"/>
    <col min="15" max="15" style="9205" width="23.421875" hidden="1" customWidth="1"/>
    <col min="16" max="16" style="9206" width="3.00390625" customWidth="1"/>
    <col min="17" max="18" style="9207" width="3.00390625" customWidth="1"/>
    <col min="19" max="19" style="9208" width="12.00390625" customWidth="1"/>
    <col min="20" max="20" style="8273" width="35.00390625" customWidth="1"/>
    <col min="21" max="21" style="8273" width="0.140625" customWidth="1"/>
    <col min="22" max="28" style="8273" width="19.7109375" hidden="1" customWidth="1"/>
    <col min="29" max="29" style="8273" width="11.7109375" hidden="1" customWidth="1"/>
    <col min="30" max="30" style="8273" width="3.7109375" hidden="1" customWidth="1"/>
    <col min="31" max="31" style="8273" width="11.7109375" hidden="1" customWidth="1"/>
    <col min="32" max="32" style="8273" width="8.57421875" hidden="1" customWidth="1"/>
    <col min="33" max="33" style="8273" width="19.7109375" customWidth="1"/>
    <col min="34" max="39" style="8273" width="19.00390625" customWidth="1"/>
    <col min="40" max="40" style="8273" width="11.00390625" customWidth="1"/>
    <col min="41" max="41" style="8273" width="3.7109375" customWidth="1"/>
    <col min="42" max="42" style="8273" width="11.00390625" customWidth="1"/>
    <col min="43" max="43" style="8273" width="8.57421875" hidden="1" customWidth="1"/>
    <col min="44" max="44" style="8273" width="4.00390625" customWidth="1"/>
    <col min="45" max="45" style="8273" width="115.00390625" customWidth="1"/>
    <col min="46" max="50" style="8355" width="10.00390625" customWidth="1"/>
    <col min="51" max="51" style="8273"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198</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525</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526</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659</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660</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608</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609</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534</v>
      </c>
      <c r="P6" s="2370"/>
      <c r="Q6" s="2370">
        <v>1</v>
      </c>
      <c r="R6" s="470"/>
      <c r="S6" s="1606">
        <f>$J6</f>
      </c>
      <c r="T6" s="399" t="s">
        <v>535</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610</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66</v>
      </c>
      <c r="AE7" s="2378"/>
      <c r="AF7" s="2220" t="s">
        <v>66</v>
      </c>
      <c r="AG7" s="864"/>
      <c r="AH7" s="864"/>
      <c r="AI7" s="864"/>
      <c r="AJ7" s="864"/>
      <c r="AK7" s="864"/>
      <c r="AL7" s="864"/>
      <c r="AM7" s="1370"/>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611</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612</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540</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613</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8355"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298</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835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355</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66</v>
      </c>
      <c r="AP15" s="2380"/>
      <c r="AQ15" s="2381" t="s">
        <v>66</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8354" customFormat="1" customHeight="1" ht="22.5" hidden="1">
      <c r="L18" s="1591"/>
      <c r="M18" s="1475"/>
      <c r="N18" s="1475"/>
      <c r="O18" s="1480" t="s">
        <v>543</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8354"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8354" customFormat="1" customHeight="1" ht="12" hidden="1">
      <c r="L20" s="1591"/>
      <c r="M20" s="1475"/>
      <c r="N20" s="1475"/>
      <c r="O20" s="1477" t="s">
        <v>544</v>
      </c>
      <c r="P20" s="1475"/>
      <c r="Q20" s="1555"/>
      <c r="R20" s="1555"/>
      <c r="S20" s="842"/>
      <c r="T20" s="1273" t="s">
        <v>545</v>
      </c>
      <c r="W20" s="1479"/>
      <c r="X20" s="1479"/>
      <c r="Y20" s="1479"/>
      <c r="Z20" s="1479"/>
      <c r="AA20" s="1479"/>
      <c r="AD20" s="299" t="s">
        <v>546</v>
      </c>
      <c r="AF20" s="299" t="s">
        <v>547</v>
      </c>
      <c r="AG20" s="1273" t="s">
        <v>545</v>
      </c>
      <c r="AH20" s="1479"/>
      <c r="AI20" s="1479"/>
      <c r="AJ20" s="1479"/>
      <c r="AK20" s="1479"/>
      <c r="AL20" s="1479"/>
      <c r="AO20" s="299" t="s">
        <v>548</v>
      </c>
      <c r="AQ20" s="299" t="s">
        <v>547</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МУП ЖКХ "Родник"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8491"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8491" customFormat="1" customHeight="1" ht="18.75" hidden="1">
      <c r="A28" s="1481"/>
      <c r="B28" s="1481"/>
      <c r="C28" s="1481"/>
      <c r="D28" s="1481"/>
      <c r="E28" s="1481"/>
      <c r="F28" s="1481"/>
      <c r="G28" s="1481"/>
      <c r="H28" s="1481"/>
      <c r="I28" s="1481"/>
      <c r="J28" s="1481"/>
      <c r="K28" s="1481"/>
      <c r="L28" s="1482"/>
      <c r="M28" s="1481"/>
      <c r="N28" s="1481"/>
      <c r="O28" s="1481"/>
      <c r="S28" s="2363" t="s">
        <v>549</v>
      </c>
      <c r="T28" s="2363"/>
      <c r="U28" s="1485"/>
      <c r="V28" s="2377" t="str">
        <f>IF(TITLE_DATE_PR_CHANGE="",IF(TITLE_DATE_PR="","",TITLE_DATE_PR),TITLE_DATE_PR_CHANGE)</f>
        <v>45586</v>
      </c>
      <c r="W28" s="2377"/>
      <c r="X28" s="2377"/>
      <c r="Y28" s="2377"/>
      <c r="Z28" s="2377"/>
      <c r="AA28" s="2377"/>
      <c r="AB28" s="2377"/>
      <c r="AC28" s="2377"/>
      <c r="AD28" s="2377"/>
      <c r="AE28" s="2377"/>
      <c r="AF28" s="439"/>
      <c r="AG28" s="2377" t="str">
        <f>IF(TITLE_DATE_PR_CHANGE="",IF(TITLE_DATE_PR="","",TITLE_DATE_PR),TITLE_DATE_PR_CHANGE)</f>
        <v>45586</v>
      </c>
      <c r="AH28" s="2377"/>
      <c r="AI28" s="2377"/>
      <c r="AJ28" s="2377"/>
      <c r="AK28" s="2377"/>
      <c r="AL28" s="2377"/>
      <c r="AM28" s="2377"/>
      <c r="AN28" s="2377"/>
      <c r="AO28" s="2377"/>
      <c r="AP28" s="2377"/>
      <c r="AQ28" s="439"/>
      <c r="AR28" s="439"/>
      <c r="AS28" s="393"/>
      <c r="AT28" s="481"/>
      <c r="AU28" s="481"/>
      <c r="AV28" s="481"/>
      <c r="AW28" s="481"/>
      <c r="AX28" s="481"/>
      <c r="AY28" s="531">
        <v>0</v>
      </c>
    </row>
    <row s="8491" customFormat="1" customHeight="1" ht="18.75" hidden="1">
      <c r="A29" s="1481"/>
      <c r="B29" s="1481"/>
      <c r="C29" s="1481"/>
      <c r="D29" s="1481"/>
      <c r="E29" s="1481"/>
      <c r="F29" s="1481"/>
      <c r="G29" s="1481"/>
      <c r="H29" s="1481"/>
      <c r="I29" s="1481"/>
      <c r="J29" s="1481"/>
      <c r="K29" s="1481"/>
      <c r="L29" s="1482"/>
      <c r="M29" s="1481"/>
      <c r="N29" s="1481"/>
      <c r="O29" s="1481"/>
      <c r="S29" s="2363" t="s">
        <v>550</v>
      </c>
      <c r="T29" s="2363"/>
      <c r="U29" s="1485"/>
      <c r="V29" s="2364" t="str">
        <f>IF(TITLE_NUMBER_PR_CHANGE="",IF(TITLE_NUMBER_PR="","",TITLE_NUMBER_PR),TITLE_NUMBER_PR_CHANGE)</f>
        <v>1577</v>
      </c>
      <c r="W29" s="2364"/>
      <c r="X29" s="2364"/>
      <c r="Y29" s="2364"/>
      <c r="Z29" s="2364"/>
      <c r="AA29" s="2364"/>
      <c r="AB29" s="2364"/>
      <c r="AC29" s="2364"/>
      <c r="AD29" s="2364"/>
      <c r="AE29" s="2364"/>
      <c r="AF29" s="439"/>
      <c r="AG29" s="2364" t="str">
        <f>IF(TITLE_NUMBER_PR_CHANGE="",IF(TITLE_NUMBER_PR="","",TITLE_NUMBER_PR),TITLE_NUMBER_PR_CHANGE)</f>
        <v>1577</v>
      </c>
      <c r="AH29" s="2364"/>
      <c r="AI29" s="2364"/>
      <c r="AJ29" s="2364"/>
      <c r="AK29" s="2364"/>
      <c r="AL29" s="2364"/>
      <c r="AM29" s="2364"/>
      <c r="AN29" s="2364"/>
      <c r="AO29" s="2364"/>
      <c r="AP29" s="2364"/>
      <c r="AQ29" s="439"/>
      <c r="AR29" s="439"/>
      <c r="AS29" s="393"/>
      <c r="AT29" s="481"/>
      <c r="AU29" s="481"/>
      <c r="AV29" s="481"/>
      <c r="AW29" s="481"/>
      <c r="AX29" s="481"/>
      <c r="AY29" s="531">
        <v>0</v>
      </c>
    </row>
    <row s="8491"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8491" customFormat="1" customHeight="1" ht="18.75">
      <c r="A32" s="1481"/>
      <c r="B32" s="1481"/>
      <c r="C32" s="1481"/>
      <c r="D32" s="1481"/>
      <c r="E32" s="1481"/>
      <c r="F32" s="1481"/>
      <c r="G32" s="1481"/>
      <c r="H32" s="1481"/>
      <c r="I32" s="1481"/>
      <c r="J32" s="1481"/>
      <c r="K32" s="1481"/>
      <c r="L32" s="1482"/>
      <c r="M32" s="1481"/>
      <c r="N32" s="1481"/>
      <c r="O32" s="1481"/>
      <c r="S32" s="2363" t="s">
        <v>551</v>
      </c>
      <c r="T32" s="2363"/>
      <c r="U32" s="1485"/>
      <c r="V32" s="2377" t="str">
        <f>IF(TITLE_DATE_PR_CHANGE="",IF(TITLE_DATE_PR="","",TITLE_DATE_PR),TITLE_DATE_PR_CHANGE)</f>
        <v>45586</v>
      </c>
      <c r="W32" s="2377"/>
      <c r="X32" s="2377"/>
      <c r="Y32" s="2377"/>
      <c r="Z32" s="2377"/>
      <c r="AA32" s="2377"/>
      <c r="AB32" s="2377"/>
      <c r="AC32" s="2377"/>
      <c r="AD32" s="2377"/>
      <c r="AE32" s="2377"/>
      <c r="AF32" s="439"/>
      <c r="AG32" s="2377" t="str">
        <f>IF(TITLE_DATE_PR_CHANGE="",IF(TITLE_DATE_PR="","",TITLE_DATE_PR),TITLE_DATE_PR_CHANGE)</f>
        <v>45586</v>
      </c>
      <c r="AH32" s="2377"/>
      <c r="AI32" s="2377"/>
      <c r="AJ32" s="2377"/>
      <c r="AK32" s="2377"/>
      <c r="AL32" s="2377"/>
      <c r="AM32" s="2377"/>
      <c r="AN32" s="2377"/>
      <c r="AO32" s="2377"/>
      <c r="AP32" s="2377"/>
      <c r="AQ32" s="439"/>
      <c r="AR32" s="439"/>
      <c r="AS32" s="393"/>
      <c r="AT32" s="481"/>
      <c r="AU32" s="481"/>
      <c r="AV32" s="481"/>
      <c r="AW32" s="481"/>
      <c r="AX32" s="481"/>
      <c r="AY32" s="531">
        <v>0</v>
      </c>
    </row>
    <row s="8491" customFormat="1" customHeight="1" ht="18.75">
      <c r="A33" s="1481"/>
      <c r="B33" s="1481"/>
      <c r="C33" s="1481"/>
      <c r="D33" s="1481"/>
      <c r="E33" s="1481"/>
      <c r="F33" s="1481"/>
      <c r="G33" s="1481"/>
      <c r="H33" s="1481"/>
      <c r="I33" s="1481"/>
      <c r="J33" s="1481"/>
      <c r="K33" s="1481"/>
      <c r="L33" s="1482"/>
      <c r="M33" s="1481"/>
      <c r="N33" s="1481"/>
      <c r="O33" s="1481"/>
      <c r="S33" s="2363" t="s">
        <v>552</v>
      </c>
      <c r="T33" s="2363"/>
      <c r="U33" s="1485"/>
      <c r="V33" s="2364" t="str">
        <f>IF(TITLE_NUMBER_PR_CHANGE="",IF(TITLE_NUMBER_PR="","",TITLE_NUMBER_PR),TITLE_NUMBER_PR_CHANGE)</f>
        <v>1577</v>
      </c>
      <c r="W33" s="2364"/>
      <c r="X33" s="2364"/>
      <c r="Y33" s="2364"/>
      <c r="Z33" s="2364"/>
      <c r="AA33" s="2364"/>
      <c r="AB33" s="2364"/>
      <c r="AC33" s="2364"/>
      <c r="AD33" s="2364"/>
      <c r="AE33" s="2364"/>
      <c r="AF33" s="439"/>
      <c r="AG33" s="2364" t="str">
        <f>IF(TITLE_NUMBER_PR_CHANGE="",IF(TITLE_NUMBER_PR="","",TITLE_NUMBER_PR),TITLE_NUMBER_PR_CHANGE)</f>
        <v>1577</v>
      </c>
      <c r="AH33" s="2364"/>
      <c r="AI33" s="2364"/>
      <c r="AJ33" s="2364"/>
      <c r="AK33" s="2364"/>
      <c r="AL33" s="2364"/>
      <c r="AM33" s="2364"/>
      <c r="AN33" s="2364"/>
      <c r="AO33" s="2364"/>
      <c r="AP33" s="2364"/>
      <c r="AQ33" s="439"/>
      <c r="AR33" s="439"/>
      <c r="AS33" s="393"/>
      <c r="AT33" s="481"/>
      <c r="AU33" s="481"/>
      <c r="AV33" s="481"/>
      <c r="AW33" s="481"/>
      <c r="AX33" s="481"/>
      <c r="AY33" s="531">
        <v>0</v>
      </c>
    </row>
    <row s="8491"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553</v>
      </c>
      <c r="AG34" s="439"/>
      <c r="AH34" s="1748"/>
      <c r="AI34" s="1748"/>
      <c r="AJ34" s="1748"/>
      <c r="AK34" s="1748"/>
      <c r="AL34" s="1748"/>
      <c r="AM34" s="439"/>
      <c r="AN34" s="439"/>
      <c r="AO34" s="439"/>
      <c r="AP34" s="439"/>
      <c r="AQ34" s="391" t="s">
        <v>553</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428</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429</v>
      </c>
      <c r="AY36" s="1268">
        <v>14</v>
      </c>
    </row>
    <row customHeight="1" ht="14.699999999999998">
      <c r="Q37" s="489"/>
      <c r="R37" s="489"/>
      <c r="S37" s="2386" t="s">
        <v>88</v>
      </c>
      <c r="T37" s="2322" t="s">
        <v>554</v>
      </c>
      <c r="U37" s="414"/>
      <c r="V37" s="2387" t="s">
        <v>555</v>
      </c>
      <c r="W37" s="2388"/>
      <c r="X37" s="2388"/>
      <c r="Y37" s="2388"/>
      <c r="Z37" s="2388"/>
      <c r="AA37" s="2388"/>
      <c r="AB37" s="2388"/>
      <c r="AC37" s="2388"/>
      <c r="AD37" s="2388"/>
      <c r="AE37" s="2389"/>
      <c r="AF37" s="2390" t="s">
        <v>556</v>
      </c>
      <c r="AG37" s="2387" t="s">
        <v>555</v>
      </c>
      <c r="AH37" s="2388"/>
      <c r="AI37" s="2388"/>
      <c r="AJ37" s="2388"/>
      <c r="AK37" s="2388"/>
      <c r="AL37" s="2388"/>
      <c r="AM37" s="2388"/>
      <c r="AN37" s="2388"/>
      <c r="AO37" s="2388"/>
      <c r="AP37" s="2389"/>
      <c r="AQ37" s="2390" t="s">
        <v>557</v>
      </c>
      <c r="AR37" s="2393" t="s">
        <v>558</v>
      </c>
      <c r="AS37" s="2240"/>
      <c r="AY37" s="1268">
        <v>14</v>
      </c>
    </row>
    <row s="8273"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661</v>
      </c>
      <c r="W38" s="2478" t="s">
        <v>662</v>
      </c>
      <c r="X38" s="2478"/>
      <c r="Y38" s="2478"/>
      <c r="Z38" s="2478" t="s">
        <v>663</v>
      </c>
      <c r="AA38" s="2478"/>
      <c r="AB38" s="2478"/>
      <c r="AC38" s="2407" t="s">
        <v>562</v>
      </c>
      <c r="AD38" s="2426"/>
      <c r="AE38" s="2427"/>
      <c r="AF38" s="2391"/>
      <c r="AG38" s="2479" t="s">
        <v>661</v>
      </c>
      <c r="AH38" s="2478" t="s">
        <v>662</v>
      </c>
      <c r="AI38" s="2478"/>
      <c r="AJ38" s="2478"/>
      <c r="AK38" s="2478" t="s">
        <v>663</v>
      </c>
      <c r="AL38" s="2478"/>
      <c r="AM38" s="2478"/>
      <c r="AN38" s="2407" t="s">
        <v>562</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664</v>
      </c>
      <c r="X39" s="2478" t="s">
        <v>665</v>
      </c>
      <c r="Y39" s="2478"/>
      <c r="Z39" s="2478" t="s">
        <v>666</v>
      </c>
      <c r="AA39" s="2478" t="s">
        <v>665</v>
      </c>
      <c r="AB39" s="2478"/>
      <c r="AC39" s="2408"/>
      <c r="AD39" s="2428"/>
      <c r="AE39" s="2429"/>
      <c r="AF39" s="2391"/>
      <c r="AG39" s="2479"/>
      <c r="AH39" s="2478" t="s">
        <v>664</v>
      </c>
      <c r="AI39" s="2478" t="s">
        <v>665</v>
      </c>
      <c r="AJ39" s="2478"/>
      <c r="AK39" s="2478" t="s">
        <v>666</v>
      </c>
      <c r="AL39" s="2478" t="s">
        <v>665</v>
      </c>
      <c r="AM39" s="2478"/>
      <c r="AN39" s="2408"/>
      <c r="AO39" s="2428"/>
      <c r="AP39" s="2429"/>
      <c r="AQ39" s="2391"/>
      <c r="AR39" s="2394"/>
      <c r="AS39" s="2240"/>
      <c r="AY39" s="1268">
        <v>19</v>
      </c>
    </row>
    <row customHeight="1" ht="61.949999999999996">
      <c r="A40" s="1483"/>
      <c r="B40" s="1483" t="s">
        <v>210</v>
      </c>
      <c r="C40" s="1483" t="s">
        <v>211</v>
      </c>
      <c r="D40" s="1483" t="s">
        <v>212</v>
      </c>
      <c r="E40" s="1477" t="s">
        <v>563</v>
      </c>
      <c r="F40" s="1477" t="s">
        <v>564</v>
      </c>
      <c r="G40" s="1477" t="s">
        <v>565</v>
      </c>
      <c r="H40" s="1477"/>
      <c r="I40" s="1477" t="s">
        <v>615</v>
      </c>
      <c r="J40" s="1477" t="s">
        <v>568</v>
      </c>
      <c r="K40" s="1477" t="s">
        <v>616</v>
      </c>
      <c r="L40" s="1477" t="s">
        <v>544</v>
      </c>
      <c r="Q40" s="489"/>
      <c r="R40" s="489"/>
      <c r="S40" s="2386"/>
      <c r="T40" s="2322"/>
      <c r="U40" s="415"/>
      <c r="V40" s="2479"/>
      <c r="W40" s="2478"/>
      <c r="X40" s="2096" t="s">
        <v>667</v>
      </c>
      <c r="Y40" s="2096" t="s">
        <v>668</v>
      </c>
      <c r="Z40" s="2478"/>
      <c r="AA40" s="2096" t="s">
        <v>669</v>
      </c>
      <c r="AB40" s="2096" t="s">
        <v>670</v>
      </c>
      <c r="AC40" s="1602" t="s">
        <v>572</v>
      </c>
      <c r="AD40" s="2383" t="s">
        <v>573</v>
      </c>
      <c r="AE40" s="2384"/>
      <c r="AF40" s="2392"/>
      <c r="AG40" s="2479"/>
      <c r="AH40" s="2478"/>
      <c r="AI40" s="2096" t="s">
        <v>667</v>
      </c>
      <c r="AJ40" s="2096" t="s">
        <v>668</v>
      </c>
      <c r="AK40" s="2478"/>
      <c r="AL40" s="2096" t="s">
        <v>669</v>
      </c>
      <c r="AM40" s="2096" t="s">
        <v>670</v>
      </c>
      <c r="AN40" s="1602" t="s">
        <v>572</v>
      </c>
      <c r="AO40" s="2383" t="s">
        <v>573</v>
      </c>
      <c r="AP40" s="2384"/>
      <c r="AQ40" s="2392"/>
      <c r="AR40" s="2395"/>
      <c r="AS40" s="2240"/>
      <c r="AY40" s="1268">
        <v>59</v>
      </c>
    </row>
    <row s="8962"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187</v>
      </c>
      <c r="T41" s="1368" t="s">
        <v>104</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384</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198</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384</v>
      </c>
      <c r="B43" s="1476" t="s">
        <v>385</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525</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526</v>
      </c>
      <c r="AU43" s="613"/>
      <c r="AV43" s="613" t="str">
        <f>IF(T43="","",T43)</f>
        <v>Территория действия тарифа</v>
      </c>
      <c r="AW43" s="613"/>
      <c r="AX43" s="613"/>
      <c r="AY43" s="1268">
        <v>23</v>
      </c>
    </row>
    <row customHeight="1" ht="24">
      <c r="A44" s="1476" t="s">
        <v>384</v>
      </c>
      <c r="B44" s="1476" t="s">
        <v>385</v>
      </c>
      <c r="C44" s="1476" t="s">
        <v>386</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659</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660</v>
      </c>
      <c r="AU44" s="613"/>
      <c r="AV44" s="613" t="str">
        <f>IF(T44="","",T44)</f>
        <v>Наименование централизованной системы горячего водоснабжения</v>
      </c>
      <c r="AW44" s="613"/>
      <c r="AX44" s="613"/>
      <c r="AY44" s="1268">
        <v>23</v>
      </c>
    </row>
    <row customHeight="1" ht="24">
      <c r="A45" s="1476" t="s">
        <v>384</v>
      </c>
      <c r="B45" s="1476" t="s">
        <v>385</v>
      </c>
      <c r="C45" s="1476" t="s">
        <v>386</v>
      </c>
      <c r="D45" s="1476" t="s">
        <v>672</v>
      </c>
      <c r="E45" s="2372"/>
      <c r="F45" s="2372"/>
      <c r="G45" s="2372"/>
      <c r="H45" s="2372"/>
      <c r="I45" s="2369" t="str">
        <f>S44&amp;".1"</f>
        <v>...1</v>
      </c>
      <c r="J45" s="1476"/>
      <c r="K45" s="1476"/>
      <c r="L45" s="1477"/>
      <c r="P45" s="2370">
        <v>1</v>
      </c>
      <c r="Q45" s="1594"/>
      <c r="R45" s="469"/>
      <c r="S45" s="1606" t="str">
        <f>$I45</f>
        <v>...1</v>
      </c>
      <c r="T45" s="398" t="s">
        <v>608</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609</v>
      </c>
      <c r="AU45" s="613"/>
      <c r="AV45" s="613" t="str">
        <f>IF(T45="","",T45)</f>
        <v>Наименование признака дифференциации</v>
      </c>
      <c r="AW45" s="613"/>
      <c r="AX45" s="613"/>
      <c r="AY45" s="1268">
        <v>23</v>
      </c>
    </row>
    <row customHeight="1" ht="24">
      <c r="A46" s="1476" t="s">
        <v>384</v>
      </c>
      <c r="B46" s="1476" t="s">
        <v>385</v>
      </c>
      <c r="C46" s="1476" t="s">
        <v>386</v>
      </c>
      <c r="D46" s="1476" t="s">
        <v>672</v>
      </c>
      <c r="E46" s="2372"/>
      <c r="F46" s="2372"/>
      <c r="G46" s="2372"/>
      <c r="H46" s="2372"/>
      <c r="I46" s="2399"/>
      <c r="J46" s="2369" t="str">
        <f>I45&amp;".1"</f>
        <v>...1.1</v>
      </c>
      <c r="K46" s="1476"/>
      <c r="L46" s="1477" t="s">
        <v>534</v>
      </c>
      <c r="P46" s="2370"/>
      <c r="Q46" s="2370">
        <v>1</v>
      </c>
      <c r="R46" s="470"/>
      <c r="S46" s="1606" t="str">
        <f>$J46</f>
        <v>...1.1</v>
      </c>
      <c r="T46" s="399" t="s">
        <v>535</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610</v>
      </c>
      <c r="AU46" s="613"/>
      <c r="AV46" s="613" t="str">
        <f>IF(T46="","",T46)</f>
        <v>Группа потребителей</v>
      </c>
      <c r="AW46" s="613"/>
      <c r="AX46" s="613"/>
      <c r="AY46" s="1268">
        <v>23</v>
      </c>
    </row>
    <row customHeight="1" ht="24">
      <c r="A47" s="1476" t="s">
        <v>384</v>
      </c>
      <c r="B47" s="1476" t="s">
        <v>385</v>
      </c>
      <c r="C47" s="1476" t="s">
        <v>386</v>
      </c>
      <c r="D47" s="1476" t="s">
        <v>672</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66</v>
      </c>
      <c r="AE47" s="2380"/>
      <c r="AF47" s="2381" t="s">
        <v>66</v>
      </c>
      <c r="AG47" s="864"/>
      <c r="AH47" s="864"/>
      <c r="AI47" s="864"/>
      <c r="AJ47" s="864"/>
      <c r="AK47" s="864"/>
      <c r="AL47" s="864"/>
      <c r="AM47" s="1370"/>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384</v>
      </c>
      <c r="B48" s="1476" t="s">
        <v>385</v>
      </c>
      <c r="C48" s="1476" t="s">
        <v>386</v>
      </c>
      <c r="D48" s="1476" t="s">
        <v>672</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384</v>
      </c>
      <c r="B49" s="1476" t="s">
        <v>385</v>
      </c>
      <c r="C49" s="1476" t="s">
        <v>386</v>
      </c>
      <c r="D49" s="1476" t="s">
        <v>672</v>
      </c>
      <c r="E49" s="2372"/>
      <c r="F49" s="2372"/>
      <c r="G49" s="2372"/>
      <c r="H49" s="2372"/>
      <c r="I49" s="2399"/>
      <c r="J49" s="2369"/>
      <c r="K49" s="1476"/>
      <c r="L49" s="1477"/>
      <c r="P49" s="2370"/>
      <c r="Q49" s="2370"/>
      <c r="R49" s="469"/>
      <c r="S49" s="1391"/>
      <c r="T49" s="400" t="s">
        <v>611</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612</v>
      </c>
      <c r="AU49" s="613"/>
      <c r="AV49" s="613" t="str">
        <f>IF(T49="","",T49)</f>
        <v>Добавить значение признака дифференциации</v>
      </c>
      <c r="AW49" s="613"/>
      <c r="AX49" s="613"/>
      <c r="AY49" s="1268">
        <v>20</v>
      </c>
    </row>
    <row customHeight="1" ht="22.049999999999997">
      <c r="A50" s="1476" t="s">
        <v>384</v>
      </c>
      <c r="B50" s="1476" t="s">
        <v>385</v>
      </c>
      <c r="C50" s="1476" t="s">
        <v>386</v>
      </c>
      <c r="D50" s="1476" t="s">
        <v>672</v>
      </c>
      <c r="E50" s="2372"/>
      <c r="F50" s="2372"/>
      <c r="G50" s="2372"/>
      <c r="H50" s="2372"/>
      <c r="I50" s="2369"/>
      <c r="J50" s="1476"/>
      <c r="K50" s="1476"/>
      <c r="L50" s="1477"/>
      <c r="P50" s="2370"/>
      <c r="Q50" s="1594"/>
      <c r="R50" s="469"/>
      <c r="S50" s="1391"/>
      <c r="T50" s="478" t="s">
        <v>540</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384</v>
      </c>
      <c r="B51" s="1476" t="s">
        <v>385</v>
      </c>
      <c r="C51" s="1476" t="s">
        <v>386</v>
      </c>
      <c r="D51" s="1476" t="s">
        <v>672</v>
      </c>
      <c r="E51" s="2372"/>
      <c r="F51" s="2372"/>
      <c r="G51" s="2372"/>
      <c r="H51" s="2371"/>
      <c r="I51" s="1476"/>
      <c r="J51" s="1476"/>
      <c r="K51" s="1476"/>
      <c r="L51" s="1477"/>
      <c r="M51" s="1478"/>
      <c r="N51" s="1478"/>
      <c r="O51" s="650"/>
      <c r="P51" s="473"/>
      <c r="Q51" s="488"/>
      <c r="R51" s="468"/>
      <c r="S51" s="1391"/>
      <c r="T51" s="485" t="s">
        <v>613</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8355" customFormat="1" customHeight="1" ht="0">
      <c r="A52" s="1456" t="s">
        <v>384</v>
      </c>
      <c r="B52" s="1456" t="s">
        <v>385</v>
      </c>
      <c r="C52" s="1427"/>
      <c r="D52" s="1427"/>
      <c r="E52" s="2372"/>
      <c r="F52" s="2371"/>
      <c r="G52" s="1427"/>
      <c r="H52" s="1427"/>
      <c r="I52" s="1427"/>
      <c r="J52" s="1427"/>
      <c r="K52" s="1427"/>
      <c r="L52" s="1607"/>
      <c r="M52" s="1434"/>
      <c r="N52" s="1434"/>
      <c r="P52" s="1429"/>
      <c r="Q52" s="1430"/>
      <c r="R52" s="1429"/>
      <c r="S52" s="1435"/>
      <c r="T52" s="1438" t="s">
        <v>298</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8355" customFormat="1" customHeight="1" ht="0">
      <c r="A53" s="1456" t="s">
        <v>384</v>
      </c>
      <c r="B53" s="1456"/>
      <c r="C53" s="1456"/>
      <c r="D53" s="1456"/>
      <c r="E53" s="2371"/>
      <c r="F53" s="1456"/>
      <c r="G53" s="1456"/>
      <c r="H53" s="1456"/>
      <c r="I53" s="1456"/>
      <c r="J53" s="1456"/>
      <c r="K53" s="1456"/>
      <c r="L53" s="1459"/>
      <c r="M53" s="1434"/>
      <c r="N53" s="1434"/>
      <c r="O53" s="631"/>
      <c r="P53" s="493"/>
      <c r="Q53" s="1457"/>
      <c r="R53" s="493"/>
      <c r="S53" s="1435"/>
      <c r="T53" s="1438" t="s">
        <v>355</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8355"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356</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3AB406-F913-AE64-39C4-456FB83A9BE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354" width="11.57421875" hidden="1" customWidth="1"/>
    <col min="2" max="2" style="8354" width="11.00390625" hidden="1" customWidth="1"/>
    <col min="3" max="3" style="8354" width="10.57421875" hidden="1"/>
    <col min="4" max="4" style="8354" width="12.8515625" hidden="1" customWidth="1"/>
    <col min="5" max="5" style="8354" width="10.00390625" hidden="1" customWidth="1"/>
    <col min="6" max="6" style="8354" width="8.7109375" hidden="1" customWidth="1"/>
    <col min="7" max="7" style="8354" width="7.57421875" hidden="1" customWidth="1"/>
    <col min="8" max="8" style="8354" width="11.421875" hidden="1" customWidth="1"/>
    <col min="9" max="9" style="8354" width="12.00390625" hidden="1" customWidth="1"/>
    <col min="10" max="10" style="8354" width="9.8515625" hidden="1" customWidth="1"/>
    <col min="11" max="11" style="8354" width="11.421875" hidden="1" customWidth="1"/>
    <col min="12" max="12" style="9204" width="19.140625" hidden="1" customWidth="1"/>
    <col min="13" max="14" style="9205" width="12.28125" hidden="1" customWidth="1"/>
    <col min="15" max="15" style="9205" width="23.421875" hidden="1" customWidth="1"/>
    <col min="16" max="16" style="9205" width="3.7109375" hidden="1" customWidth="1"/>
    <col min="17" max="17" style="9390" width="3.7109375" hidden="1" customWidth="1"/>
    <col min="18" max="18" style="9207" width="3.00390625" customWidth="1"/>
    <col min="19" max="19" style="9208" width="12.00390625" customWidth="1"/>
    <col min="20" max="20" style="8273" width="31.00390625" customWidth="1"/>
    <col min="21" max="21" style="8273" width="0.140625" customWidth="1"/>
    <col min="22" max="25" style="8273" width="21.7109375" hidden="1" customWidth="1"/>
    <col min="26" max="26" style="8273" width="11.7109375" hidden="1" customWidth="1"/>
    <col min="27" max="27" style="8273" width="3.7109375" hidden="1" customWidth="1"/>
    <col min="28" max="28" style="8273" width="11.7109375" hidden="1" customWidth="1"/>
    <col min="29" max="29" style="8273" width="8.57421875" hidden="1" customWidth="1"/>
    <col min="30" max="30" style="8273" width="3.7109375" customWidth="1"/>
    <col min="31" max="32" style="8273" width="3.00390625" customWidth="1"/>
    <col min="33" max="33" style="8273" width="24.00390625" customWidth="1"/>
    <col min="34" max="34" style="8273" width="3.7109375" customWidth="1"/>
    <col min="35" max="36" style="8273" width="3.00390625" customWidth="1"/>
    <col min="37" max="37" style="8273" width="24.00390625" customWidth="1"/>
    <col min="38" max="38" style="8273" width="3.7109375" customWidth="1"/>
    <col min="39" max="40" style="8273" width="3.00390625" customWidth="1"/>
    <col min="41" max="41" style="8273" width="18.00390625" customWidth="1"/>
    <col min="42" max="42" style="8273" width="3.7109375" customWidth="1"/>
    <col min="43" max="44" style="8273" width="3.00390625" customWidth="1"/>
    <col min="45" max="45" style="8273" width="18.00390625" customWidth="1"/>
    <col min="46" max="49" style="8273" width="21.00390625" customWidth="1"/>
    <col min="50" max="50" style="8273" width="11.00390625" customWidth="1"/>
    <col min="51" max="51" style="8273" width="3.7109375" customWidth="1"/>
    <col min="52" max="52" style="8273" width="11.00390625" customWidth="1"/>
    <col min="53" max="53" style="8273" width="8.57421875" hidden="1" customWidth="1"/>
    <col min="54" max="54" style="8273" width="4.00390625" customWidth="1"/>
    <col min="55" max="55" style="8273" width="115.00390625" customWidth="1"/>
    <col min="56" max="60" style="8355" width="10.00390625" customWidth="1"/>
    <col min="61" max="61" style="8273"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198</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525</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526</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659</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660</v>
      </c>
      <c r="BE4" s="613"/>
      <c r="BF4" s="613" t="str">
        <f>IF(T4="","",T4)</f>
        <v>Наименование централизованной системы горячего водоснабжения</v>
      </c>
      <c r="BG4" s="613"/>
      <c r="BH4" s="613"/>
      <c r="BI4" s="1268">
        <v>0</v>
      </c>
    </row>
    <row s="8355"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530</v>
      </c>
      <c r="BE5" s="613"/>
      <c r="BF5" s="613" t="str">
        <f>IF(T5="","",T5)</f>
        <v/>
      </c>
      <c r="BG5" s="613"/>
      <c r="BH5" s="613"/>
      <c r="BI5" s="624">
        <v>0</v>
      </c>
    </row>
    <row s="8355" customFormat="1" customHeight="1" ht="14.25" hidden="1">
      <c r="A6" s="1456"/>
      <c r="B6" s="1456"/>
      <c r="C6" s="1456"/>
      <c r="D6" s="1456"/>
      <c r="E6" s="2372"/>
      <c r="F6" s="2372"/>
      <c r="G6" s="2372"/>
      <c r="H6" s="2372"/>
      <c r="I6" s="2369" t="str">
        <f>S5&amp;".1"</f>
        <v>.1</v>
      </c>
      <c r="J6" s="1456"/>
      <c r="K6" s="1456"/>
      <c r="L6" s="1459" t="s">
        <v>531</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8355"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28</v>
      </c>
      <c r="AL8" s="2220" t="s">
        <v>66</v>
      </c>
      <c r="AM8" s="2305"/>
      <c r="AN8" s="2318">
        <v>1</v>
      </c>
      <c r="AO8" s="2470"/>
      <c r="AP8" s="2471" t="s">
        <v>66</v>
      </c>
      <c r="AQ8" s="424"/>
      <c r="AR8" s="1599">
        <v>1</v>
      </c>
      <c r="AS8" s="1605" t="s">
        <v>28</v>
      </c>
      <c r="AT8" s="864"/>
      <c r="AU8" s="1370"/>
      <c r="AV8" s="864"/>
      <c r="AW8" s="1370"/>
      <c r="AX8" s="1847"/>
      <c r="AY8" s="1582" t="s">
        <v>66</v>
      </c>
      <c r="AZ8" s="1847"/>
      <c r="BA8" s="1582" t="s">
        <v>66</v>
      </c>
      <c r="BB8" s="1461"/>
      <c r="BC8" s="2366" t="s">
        <v>630</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631</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632</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633</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634</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593</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8355"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8355"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8355"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8355"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298</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8355"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355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543</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9361" customFormat="1" customHeight="1" ht="14.25" hidden="1">
      <c r="M24" s="1621"/>
      <c r="N24" s="1621"/>
      <c r="O24" s="1622" t="s">
        <v>544</v>
      </c>
      <c r="P24" s="1621"/>
      <c r="Q24" s="1623"/>
      <c r="R24" s="1623"/>
      <c r="AA24" s="1620" t="s">
        <v>546</v>
      </c>
      <c r="AC24" s="1620" t="s">
        <v>547</v>
      </c>
      <c r="AD24" s="1620" t="s">
        <v>594</v>
      </c>
      <c r="AH24" s="1620" t="s">
        <v>594</v>
      </c>
      <c r="AK24" s="1620" t="s">
        <v>635</v>
      </c>
      <c r="AL24" s="1620" t="s">
        <v>594</v>
      </c>
      <c r="AP24" s="1620" t="s">
        <v>594</v>
      </c>
      <c r="AY24" s="1620" t="s">
        <v>546</v>
      </c>
      <c r="BA24" s="1620" t="s">
        <v>547</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МУП ЖКХ "Родник"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8491"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8491"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549</v>
      </c>
      <c r="T32" s="2363"/>
      <c r="U32" s="1485"/>
      <c r="V32" s="2377" t="str">
        <f>IF(TITLE_DATE_PR_CHANGE="",IF(TITLE_DATE_PR="","",TITLE_DATE_PR),TITLE_DATE_PR_CHANGE)</f>
        <v>45586</v>
      </c>
      <c r="W32" s="2377"/>
      <c r="X32" s="2377"/>
      <c r="Y32" s="2377"/>
      <c r="Z32" s="2377"/>
      <c r="AA32" s="2377"/>
      <c r="AB32" s="2377"/>
      <c r="AC32" s="439"/>
      <c r="AD32" s="2377" t="str">
        <f>IF(TITLE_DATE_PR_CHANGE="",IF(TITLE_DATE_PR="","",TITLE_DATE_PR),TITLE_DATE_PR_CHANGE)</f>
        <v>45586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8491"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550</v>
      </c>
      <c r="T33" s="2363"/>
      <c r="U33" s="1485"/>
      <c r="V33" s="2364" t="str">
        <f>IF(TITLE_NUMBER_PR_CHANGE="",IF(TITLE_NUMBER_PR="","",TITLE_NUMBER_PR),TITLE_NUMBER_PR_CHANGE)</f>
        <v>1577</v>
      </c>
      <c r="W33" s="2364"/>
      <c r="X33" s="2364"/>
      <c r="Y33" s="2364"/>
      <c r="Z33" s="2364"/>
      <c r="AA33" s="2364"/>
      <c r="AB33" s="2364"/>
      <c r="AC33" s="439"/>
      <c r="AD33" s="2364" t="str">
        <f>IF(TITLE_NUMBER_PR_CHANGE="",IF(TITLE_NUMBER_PR="","",TITLE_NUMBER_PR),TITLE_NUMBER_PR_CHANGE)</f>
        <v>1577</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8491"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8491" customFormat="1" customHeight="1" ht="18.75">
      <c r="A36" s="1481"/>
      <c r="B36" s="1481"/>
      <c r="C36" s="1481"/>
      <c r="D36" s="1481"/>
      <c r="E36" s="1481"/>
      <c r="F36" s="1481"/>
      <c r="G36" s="1481"/>
      <c r="H36" s="1481"/>
      <c r="I36" s="1481"/>
      <c r="J36" s="1481"/>
      <c r="K36" s="1481"/>
      <c r="L36" s="1482"/>
      <c r="M36" s="1481"/>
      <c r="N36" s="1481"/>
      <c r="O36" s="1481"/>
      <c r="P36" s="1481"/>
      <c r="Q36" s="1481"/>
      <c r="S36" s="2363" t="s">
        <v>549</v>
      </c>
      <c r="T36" s="2363"/>
      <c r="U36" s="1485"/>
      <c r="V36" s="2377" t="str">
        <f>IF(TITLE_DATE_PR_CHANGE="",IF(TITLE_DATE_PR="","",TITLE_DATE_PR),TITLE_DATE_PR_CHANGE)</f>
        <v>45586</v>
      </c>
      <c r="W36" s="2377"/>
      <c r="X36" s="2377"/>
      <c r="Y36" s="2377"/>
      <c r="Z36" s="2377"/>
      <c r="AA36" s="2377"/>
      <c r="AB36" s="2377"/>
      <c r="AC36" s="439"/>
      <c r="AD36" s="2377" t="str">
        <f>IF(TITLE_DATE_PR_CHANGE="",IF(TITLE_DATE_PR="","",TITLE_DATE_PR),TITLE_DATE_PR_CHANGE)</f>
        <v>45586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8491" customFormat="1" customHeight="1" ht="18.75">
      <c r="A37" s="1481"/>
      <c r="B37" s="1481"/>
      <c r="C37" s="1481"/>
      <c r="D37" s="1481"/>
      <c r="E37" s="1481"/>
      <c r="F37" s="1481"/>
      <c r="G37" s="1481"/>
      <c r="H37" s="1481"/>
      <c r="I37" s="1481"/>
      <c r="J37" s="1481"/>
      <c r="K37" s="1481"/>
      <c r="L37" s="1482"/>
      <c r="M37" s="1481"/>
      <c r="N37" s="1481"/>
      <c r="O37" s="1481"/>
      <c r="P37" s="1481"/>
      <c r="Q37" s="1481"/>
      <c r="S37" s="2363" t="s">
        <v>550</v>
      </c>
      <c r="T37" s="2363"/>
      <c r="U37" s="1485"/>
      <c r="V37" s="2364" t="str">
        <f>IF(TITLE_NUMBER_PR_CHANGE="",IF(TITLE_NUMBER_PR="","",TITLE_NUMBER_PR),TITLE_NUMBER_PR_CHANGE)</f>
        <v>1577</v>
      </c>
      <c r="W37" s="2364"/>
      <c r="X37" s="2364"/>
      <c r="Y37" s="2364"/>
      <c r="Z37" s="2364"/>
      <c r="AA37" s="2364"/>
      <c r="AB37" s="2364"/>
      <c r="AC37" s="439"/>
      <c r="AD37" s="2364" t="str">
        <f>IF(TITLE_NUMBER_PR_CHANGE="",IF(TITLE_NUMBER_PR="","",TITLE_NUMBER_PR),TITLE_NUMBER_PR_CHANGE)</f>
        <v>1577</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8491"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553</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553</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428</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429</v>
      </c>
      <c r="BI40" s="1268">
        <v>14</v>
      </c>
    </row>
    <row customHeight="1" ht="14.699999999999998">
      <c r="Q41" s="404"/>
      <c r="R41" s="489"/>
      <c r="S41" s="2386" t="s">
        <v>88</v>
      </c>
      <c r="T41" s="2322" t="s">
        <v>636</v>
      </c>
      <c r="U41" s="414"/>
      <c r="V41" s="2387" t="s">
        <v>555</v>
      </c>
      <c r="W41" s="2388"/>
      <c r="X41" s="2388"/>
      <c r="Y41" s="2388"/>
      <c r="Z41" s="2388"/>
      <c r="AA41" s="2388"/>
      <c r="AB41" s="2389"/>
      <c r="AC41" s="2390" t="s">
        <v>556</v>
      </c>
      <c r="AD41" s="2441" t="s">
        <v>637</v>
      </c>
      <c r="AE41" s="2404"/>
      <c r="AF41" s="2404"/>
      <c r="AG41" s="2442"/>
      <c r="AH41" s="2441" t="s">
        <v>638</v>
      </c>
      <c r="AI41" s="2404"/>
      <c r="AJ41" s="2404"/>
      <c r="AK41" s="2442"/>
      <c r="AL41" s="2441" t="s">
        <v>639</v>
      </c>
      <c r="AM41" s="2404"/>
      <c r="AN41" s="2404"/>
      <c r="AO41" s="2442"/>
      <c r="AP41" s="2441" t="s">
        <v>640</v>
      </c>
      <c r="AQ41" s="2404"/>
      <c r="AR41" s="2404"/>
      <c r="AS41" s="2442"/>
      <c r="AT41" s="2387" t="s">
        <v>555</v>
      </c>
      <c r="AU41" s="2388"/>
      <c r="AV41" s="2388"/>
      <c r="AW41" s="2388"/>
      <c r="AX41" s="2388"/>
      <c r="AY41" s="2388"/>
      <c r="AZ41" s="2389"/>
      <c r="BA41" s="2390" t="s">
        <v>556</v>
      </c>
      <c r="BB41" s="2393" t="s">
        <v>558</v>
      </c>
      <c r="BC41" s="2240"/>
      <c r="BI41" s="1268">
        <v>14</v>
      </c>
    </row>
    <row customHeight="1" ht="35.699999999999996">
      <c r="Q42" s="404"/>
      <c r="R42" s="489"/>
      <c r="S42" s="2386"/>
      <c r="T42" s="2322"/>
      <c r="U42" s="1144"/>
      <c r="V42" s="2305" t="s">
        <v>641</v>
      </c>
      <c r="W42" s="2306"/>
      <c r="X42" s="2305" t="s">
        <v>642</v>
      </c>
      <c r="Y42" s="2306"/>
      <c r="Z42" s="2407" t="s">
        <v>643</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641</v>
      </c>
      <c r="AU42" s="2306"/>
      <c r="AV42" s="2305" t="s">
        <v>642</v>
      </c>
      <c r="AW42" s="2306"/>
      <c r="AX42" s="2407" t="s">
        <v>643</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210</v>
      </c>
      <c r="C44" s="1483" t="s">
        <v>211</v>
      </c>
      <c r="D44" s="1483" t="s">
        <v>212</v>
      </c>
      <c r="E44" s="1477" t="s">
        <v>563</v>
      </c>
      <c r="F44" s="1477" t="s">
        <v>564</v>
      </c>
      <c r="G44" s="1477" t="s">
        <v>565</v>
      </c>
      <c r="H44" s="1477" t="s">
        <v>566</v>
      </c>
      <c r="I44" s="1477" t="s">
        <v>567</v>
      </c>
      <c r="J44" s="1477" t="s">
        <v>568</v>
      </c>
      <c r="K44" s="1477" t="s">
        <v>569</v>
      </c>
      <c r="L44" s="1477" t="s">
        <v>544</v>
      </c>
      <c r="Q44" s="404"/>
      <c r="R44" s="489"/>
      <c r="S44" s="2386"/>
      <c r="T44" s="2322"/>
      <c r="U44" s="415"/>
      <c r="V44" s="1592" t="s">
        <v>603</v>
      </c>
      <c r="W44" s="1592" t="s">
        <v>604</v>
      </c>
      <c r="X44" s="1592" t="s">
        <v>603</v>
      </c>
      <c r="Y44" s="1592" t="s">
        <v>604</v>
      </c>
      <c r="Z44" s="1602" t="s">
        <v>572</v>
      </c>
      <c r="AA44" s="2383" t="s">
        <v>573</v>
      </c>
      <c r="AB44" s="2384"/>
      <c r="AC44" s="2392"/>
      <c r="AD44" s="2446"/>
      <c r="AE44" s="2447"/>
      <c r="AF44" s="2447"/>
      <c r="AG44" s="2448"/>
      <c r="AH44" s="2446"/>
      <c r="AI44" s="2447"/>
      <c r="AJ44" s="2447"/>
      <c r="AK44" s="2448"/>
      <c r="AL44" s="2446"/>
      <c r="AM44" s="2447"/>
      <c r="AN44" s="2447"/>
      <c r="AO44" s="2448"/>
      <c r="AP44" s="2446"/>
      <c r="AQ44" s="2447"/>
      <c r="AR44" s="2447"/>
      <c r="AS44" s="2448"/>
      <c r="AT44" s="1592" t="s">
        <v>603</v>
      </c>
      <c r="AU44" s="1592" t="s">
        <v>604</v>
      </c>
      <c r="AV44" s="1592" t="s">
        <v>603</v>
      </c>
      <c r="AW44" s="1592" t="s">
        <v>604</v>
      </c>
      <c r="AX44" s="1602" t="s">
        <v>572</v>
      </c>
      <c r="AY44" s="2383" t="s">
        <v>573</v>
      </c>
      <c r="AZ44" s="2384"/>
      <c r="BA44" s="2392"/>
      <c r="BB44" s="2395"/>
      <c r="BC44" s="2240"/>
      <c r="BI44" s="1268">
        <v>14</v>
      </c>
    </row>
    <row s="8962"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187</v>
      </c>
      <c r="T45" s="1368" t="s">
        <v>104</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389</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198</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389</v>
      </c>
      <c r="B47" s="1476" t="s">
        <v>390</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525</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526</v>
      </c>
      <c r="BE47" s="613"/>
      <c r="BF47" s="613" t="str">
        <f>IF(T47="","",T47)</f>
        <v>Территория действия тарифа</v>
      </c>
      <c r="BG47" s="613"/>
      <c r="BH47" s="613"/>
      <c r="BI47" s="1268">
        <v>21</v>
      </c>
    </row>
    <row customHeight="1" ht="35.699999999999996">
      <c r="A48" s="1476" t="s">
        <v>389</v>
      </c>
      <c r="B48" s="1476" t="s">
        <v>390</v>
      </c>
      <c r="C48" s="1476" t="s">
        <v>391</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659</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660</v>
      </c>
      <c r="BE48" s="613"/>
      <c r="BF48" s="613" t="str">
        <f>IF(T48="","",T48)</f>
        <v>Наименование централизованной системы горячего водоснабжения</v>
      </c>
      <c r="BG48" s="613"/>
      <c r="BH48" s="613"/>
      <c r="BI48" s="1268">
        <v>34</v>
      </c>
    </row>
    <row s="8355" customFormat="1" customHeight="1" ht="0">
      <c r="A49" s="1456" t="s">
        <v>389</v>
      </c>
      <c r="B49" s="1456" t="s">
        <v>390</v>
      </c>
      <c r="C49" s="1456" t="s">
        <v>391</v>
      </c>
      <c r="D49" s="1456" t="s">
        <v>673</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530</v>
      </c>
      <c r="BE49" s="613"/>
      <c r="BF49" s="613" t="str">
        <f>IF(T49="","",T49)</f>
        <v/>
      </c>
      <c r="BG49" s="613"/>
      <c r="BH49" s="613"/>
      <c r="BI49" s="624">
        <v>0</v>
      </c>
    </row>
    <row s="8355" customFormat="1" customHeight="1" ht="0">
      <c r="A50" s="1456" t="s">
        <v>389</v>
      </c>
      <c r="B50" s="1456" t="s">
        <v>390</v>
      </c>
      <c r="C50" s="1456" t="s">
        <v>391</v>
      </c>
      <c r="D50" s="1456" t="s">
        <v>673</v>
      </c>
      <c r="E50" s="2372"/>
      <c r="F50" s="2372"/>
      <c r="G50" s="2372"/>
      <c r="H50" s="2372"/>
      <c r="I50" s="2369" t="str">
        <f>S49&amp;".1"</f>
        <v>.1</v>
      </c>
      <c r="J50" s="1456"/>
      <c r="K50" s="1456"/>
      <c r="L50" s="1459" t="s">
        <v>531</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8355" customFormat="1" customHeight="1" ht="0">
      <c r="A51" s="1456" t="s">
        <v>389</v>
      </c>
      <c r="B51" s="1456" t="s">
        <v>390</v>
      </c>
      <c r="C51" s="1456" t="s">
        <v>391</v>
      </c>
      <c r="D51" s="1456" t="s">
        <v>673</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389</v>
      </c>
      <c r="B52" s="1476" t="s">
        <v>390</v>
      </c>
      <c r="C52" s="1476" t="s">
        <v>391</v>
      </c>
      <c r="D52" s="1476" t="s">
        <v>673</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99">
        <v>1</v>
      </c>
      <c r="AS52" s="1605" t="s">
        <v>28</v>
      </c>
      <c r="AT52" s="864"/>
      <c r="AU52" s="1370"/>
      <c r="AV52" s="864"/>
      <c r="AW52" s="1370"/>
      <c r="AX52" s="1847"/>
      <c r="AY52" s="1582" t="s">
        <v>66</v>
      </c>
      <c r="AZ52" s="1847"/>
      <c r="BA52" s="1582" t="s">
        <v>66</v>
      </c>
      <c r="BB52" s="1461"/>
      <c r="BC52" s="2366" t="s">
        <v>630</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631</v>
      </c>
      <c r="AT53" s="1506"/>
      <c r="AU53" s="1609"/>
      <c r="AV53" s="1506"/>
      <c r="AW53" s="1609"/>
      <c r="AX53" s="1506"/>
      <c r="AY53" s="1506"/>
      <c r="AZ53" s="1506"/>
      <c r="BA53" s="1506"/>
      <c r="BB53" s="1510"/>
      <c r="BC53" s="2367"/>
      <c r="BE53" s="613"/>
      <c r="BF53" s="613"/>
      <c r="BG53" s="613"/>
      <c r="BH53" s="613"/>
      <c r="BI53" s="1268">
        <v>11</v>
      </c>
    </row>
    <row customHeight="1" ht="11.549999999999999">
      <c r="A54" s="1476" t="s">
        <v>389</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632</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389</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633</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389</v>
      </c>
      <c r="B56" s="1476" t="s">
        <v>390</v>
      </c>
      <c r="C56" s="1476" t="s">
        <v>391</v>
      </c>
      <c r="D56" s="1476" t="s">
        <v>673</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634</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389</v>
      </c>
      <c r="B57" s="1476" t="s">
        <v>390</v>
      </c>
      <c r="C57" s="1476" t="s">
        <v>391</v>
      </c>
      <c r="D57" s="1476" t="s">
        <v>673</v>
      </c>
      <c r="E57" s="2372"/>
      <c r="F57" s="2372"/>
      <c r="G57" s="2372"/>
      <c r="H57" s="2372"/>
      <c r="I57" s="2399"/>
      <c r="J57" s="2369"/>
      <c r="K57" s="1476"/>
      <c r="L57" s="1477"/>
      <c r="P57" s="2370"/>
      <c r="Q57" s="2370"/>
      <c r="R57" s="469"/>
      <c r="S57" s="1391"/>
      <c r="T57" s="400" t="s">
        <v>593</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8355" customFormat="1" customHeight="1" ht="0">
      <c r="A58" s="1456" t="s">
        <v>389</v>
      </c>
      <c r="B58" s="1456" t="s">
        <v>390</v>
      </c>
      <c r="C58" s="1456" t="s">
        <v>391</v>
      </c>
      <c r="D58" s="1456" t="s">
        <v>673</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8355" customFormat="1" customHeight="1" ht="0">
      <c r="A59" s="1456" t="s">
        <v>389</v>
      </c>
      <c r="B59" s="1456" t="s">
        <v>390</v>
      </c>
      <c r="C59" s="1456" t="s">
        <v>391</v>
      </c>
      <c r="D59" s="1456" t="s">
        <v>673</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8355" customFormat="1" customHeight="1" ht="0">
      <c r="A60" s="1456" t="s">
        <v>389</v>
      </c>
      <c r="B60" s="1456" t="s">
        <v>390</v>
      </c>
      <c r="C60" s="1456" t="s">
        <v>391</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8355" customFormat="1" customHeight="1" ht="0">
      <c r="A61" s="1456" t="s">
        <v>389</v>
      </c>
      <c r="B61" s="1456" t="s">
        <v>390</v>
      </c>
      <c r="C61" s="1427"/>
      <c r="D61" s="1427"/>
      <c r="E61" s="2372"/>
      <c r="F61" s="2371"/>
      <c r="G61" s="1427"/>
      <c r="H61" s="1427"/>
      <c r="I61" s="1427"/>
      <c r="J61" s="1427"/>
      <c r="K61" s="1427"/>
      <c r="L61" s="1607"/>
      <c r="M61" s="1434"/>
      <c r="N61" s="1434"/>
      <c r="P61" s="1429"/>
      <c r="Q61" s="1430"/>
      <c r="R61" s="1429"/>
      <c r="S61" s="1435"/>
      <c r="T61" s="1438" t="s">
        <v>298</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8355" customFormat="1" customHeight="1" ht="0">
      <c r="A62" s="1456" t="s">
        <v>389</v>
      </c>
      <c r="B62" s="1456"/>
      <c r="C62" s="1456"/>
      <c r="D62" s="1456"/>
      <c r="E62" s="2371"/>
      <c r="F62" s="1456"/>
      <c r="G62" s="1456"/>
      <c r="H62" s="1456"/>
      <c r="I62" s="1456"/>
      <c r="J62" s="1456"/>
      <c r="K62" s="1456"/>
      <c r="L62" s="1459"/>
      <c r="M62" s="1434"/>
      <c r="N62" s="1434"/>
      <c r="O62" s="631"/>
      <c r="P62" s="493"/>
      <c r="Q62" s="1457"/>
      <c r="R62" s="493"/>
      <c r="S62" s="1435"/>
      <c r="T62" s="1438" t="s">
        <v>355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8355"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356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26C84A-7999-60B5-462E-3BE4FCCECE8C}"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12449" width="10.7109375" hidden="1" customWidth="1"/>
    <col min="2" max="2" style="8354" width="16.8515625" hidden="1" customWidth="1"/>
    <col min="3" max="3" style="8355" width="5.57421875" hidden="1" customWidth="1"/>
    <col min="4" max="4" style="8273" width="3.00390625" customWidth="1"/>
    <col min="5" max="5" style="8273" width="7.00390625" customWidth="1"/>
    <col min="6" max="6" style="8273" width="54.00390625" customWidth="1"/>
    <col min="7" max="7" style="8273" width="10.00390625" customWidth="1"/>
    <col min="8" max="8" style="8273" width="40.7109375" hidden="1" customWidth="1"/>
    <col min="9" max="9" style="8273" width="40.7109375" customWidth="1"/>
    <col min="10" max="10" style="8273" width="102.00390625" customWidth="1"/>
    <col min="11" max="11" style="8354" width="9.00390625" customWidth="1"/>
    <col min="12" max="12" style="8355" width="5.00390625" customWidth="1"/>
    <col min="13" max="13" style="8355" width="3.00390625" customWidth="1"/>
    <col min="14" max="17" style="8354" width="3.00390625" customWidth="1"/>
    <col min="18" max="18" style="8355" width="10.00390625" customWidth="1"/>
    <col min="19" max="19" style="8354" width="34.00390625" customWidth="1"/>
    <col min="20" max="20" style="8354" width="9.00390625" customWidth="1"/>
    <col min="21" max="21" style="12450" width="8.00390625" customWidth="1"/>
    <col min="22" max="26" style="8354" width="8.00390625" customWidth="1"/>
    <col min="27" max="31" style="8237" width="8.00390625" customWidth="1"/>
    <col min="32" max="32" style="8273" width="9.140625" hidden="1"/>
  </cols>
  <sheetData>
    <row customHeight="1" ht="22.5" hidden="1">
      <c r="AF1" s="1744" t="s">
        <v>14</v>
      </c>
    </row>
    <row customHeight="1" ht="23.25" hidden="1">
      <c r="B2" s="2212"/>
      <c r="C2" s="1280" t="s">
        <v>674</v>
      </c>
      <c r="D2" s="1751"/>
      <c r="E2" s="659">
        <f>B2</f>
        <v>0</v>
      </c>
      <c r="F2" s="660"/>
      <c r="G2" s="1759" t="s">
        <v>675</v>
      </c>
      <c r="H2" s="1759" t="s">
        <v>675</v>
      </c>
      <c r="I2" s="1759" t="s">
        <v>675</v>
      </c>
      <c r="J2" s="402" t="s">
        <v>676</v>
      </c>
      <c r="K2" s="656"/>
      <c r="AF2" s="1744">
        <v>0</v>
      </c>
    </row>
    <row s="8355" customFormat="1" customHeight="1" ht="0.75" hidden="1">
      <c r="B3" s="2212"/>
      <c r="C3" s="1280"/>
      <c r="D3" s="661"/>
      <c r="E3" s="662"/>
      <c r="F3" s="663" t="s">
        <v>677</v>
      </c>
      <c r="G3" s="664"/>
      <c r="H3" s="664">
        <f>H4*H5+H7</f>
        <v>0</v>
      </c>
      <c r="I3" s="664">
        <f>I4*I5+I6</f>
        <v>0</v>
      </c>
      <c r="J3" s="665"/>
      <c r="AF3" s="1749">
        <v>0</v>
      </c>
    </row>
    <row customHeight="1" ht="23.25" hidden="1">
      <c r="B4" s="2212"/>
      <c r="C4" s="1280"/>
      <c r="D4" s="1751"/>
      <c r="E4" s="659" t="str">
        <f>B2&amp;".1"</f>
        <v>.1</v>
      </c>
      <c r="F4" s="666" t="s">
        <v>678</v>
      </c>
      <c r="G4" s="667"/>
      <c r="H4" s="654"/>
      <c r="I4" s="654"/>
      <c r="J4" s="402" t="s">
        <v>679</v>
      </c>
      <c r="K4" s="656"/>
      <c r="AF4" s="1744">
        <v>0</v>
      </c>
    </row>
    <row customHeight="1" ht="18.75" hidden="1">
      <c r="B5" s="2212"/>
      <c r="C5" s="1280"/>
      <c r="D5" s="1751"/>
      <c r="E5" s="659" t="str">
        <f>B2&amp;".2"</f>
        <v>.2</v>
      </c>
      <c r="F5" s="666" t="s">
        <v>680</v>
      </c>
      <c r="G5" s="1759" t="s">
        <v>681</v>
      </c>
      <c r="H5" s="654"/>
      <c r="I5" s="654"/>
      <c r="J5" s="402"/>
      <c r="K5" s="656"/>
      <c r="AF5" s="1744">
        <v>0</v>
      </c>
    </row>
    <row customHeight="1" ht="18.75" hidden="1">
      <c r="B6" s="2212"/>
      <c r="C6" s="1280"/>
      <c r="D6" s="1751"/>
      <c r="E6" s="659" t="str">
        <f>B2&amp;".3"</f>
        <v>.3</v>
      </c>
      <c r="F6" s="666" t="s">
        <v>682</v>
      </c>
      <c r="G6" s="1759" t="s">
        <v>681</v>
      </c>
      <c r="H6" s="654"/>
      <c r="I6" s="654"/>
      <c r="J6" s="402"/>
      <c r="K6" s="656"/>
      <c r="AF6" s="1744">
        <v>0</v>
      </c>
    </row>
    <row customHeight="1" ht="18.75" hidden="1">
      <c r="B7" s="2212"/>
      <c r="C7" s="1280"/>
      <c r="D7" s="1751"/>
      <c r="E7" s="659" t="str">
        <f>B2&amp;".4"</f>
        <v>.4</v>
      </c>
      <c r="F7" s="666" t="s">
        <v>683</v>
      </c>
      <c r="G7" s="1759" t="s">
        <v>675</v>
      </c>
      <c r="H7" s="668"/>
      <c r="I7" s="668"/>
      <c r="J7" s="402"/>
      <c r="K7" s="656"/>
      <c r="AF7" s="1744">
        <v>0</v>
      </c>
    </row>
    <row s="8354" customFormat="1" customHeight="1" ht="11.25" hidden="1">
      <c r="A8" s="1100"/>
      <c r="C8" s="1749"/>
      <c r="D8" s="650"/>
      <c r="H8" s="1273">
        <v>4</v>
      </c>
      <c r="I8" s="1273">
        <v>4</v>
      </c>
      <c r="L8" s="1749"/>
      <c r="M8" s="1749"/>
      <c r="R8" s="1749"/>
      <c r="AF8" s="1273">
        <v>0</v>
      </c>
    </row>
    <row s="8354" customFormat="1" customHeight="1" ht="22.5" hidden="1">
      <c r="A9" s="1100"/>
      <c r="C9" s="1749"/>
      <c r="D9" s="651"/>
      <c r="E9" s="1761"/>
      <c r="F9" s="653"/>
      <c r="G9" s="1759" t="s">
        <v>681</v>
      </c>
      <c r="H9" s="654"/>
      <c r="I9" s="654"/>
      <c r="J9" s="655" t="s">
        <v>684</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685</v>
      </c>
      <c r="H11" s="654"/>
      <c r="I11" s="654"/>
      <c r="J11" s="402" t="s">
        <v>686</v>
      </c>
      <c r="K11" s="656"/>
      <c r="AF11" s="1744">
        <v>0</v>
      </c>
    </row>
    <row customHeight="1" ht="11.25" hidden="1">
      <c r="AF12" s="1744">
        <v>0</v>
      </c>
    </row>
    <row customHeight="1" ht="22.5" hidden="1">
      <c r="D13" s="1751"/>
      <c r="E13" s="659"/>
      <c r="F13" s="653"/>
      <c r="G13" s="1082" t="s">
        <v>687</v>
      </c>
      <c r="H13" s="658"/>
      <c r="I13" s="658"/>
      <c r="J13" s="858" t="s">
        <v>688</v>
      </c>
      <c r="K13" s="656"/>
      <c r="AF13" s="1744">
        <v>0</v>
      </c>
    </row>
    <row customHeight="1" ht="11.25" hidden="1">
      <c r="AF14" s="1744">
        <v>0</v>
      </c>
    </row>
    <row customHeight="1" ht="22.5" hidden="1">
      <c r="D15" s="1751"/>
      <c r="E15" s="659"/>
      <c r="F15" s="653"/>
      <c r="G15" s="1759" t="s">
        <v>689</v>
      </c>
      <c r="H15" s="658"/>
      <c r="I15" s="658"/>
      <c r="J15" s="402" t="s">
        <v>690</v>
      </c>
      <c r="K15" s="656"/>
      <c r="AF15" s="1744">
        <v>0</v>
      </c>
    </row>
    <row customHeight="1" ht="11.25" hidden="1">
      <c r="AF16" s="1744">
        <v>0</v>
      </c>
    </row>
    <row customHeight="1" ht="22.5" hidden="1">
      <c r="D17" s="1751"/>
      <c r="E17" s="659"/>
      <c r="F17" s="653"/>
      <c r="G17" s="1759" t="s">
        <v>691</v>
      </c>
      <c r="H17" s="658"/>
      <c r="I17" s="658"/>
      <c r="J17" s="402" t="s">
        <v>692</v>
      </c>
      <c r="K17" s="656"/>
      <c r="AF17" s="1744">
        <v>0</v>
      </c>
    </row>
    <row customHeight="1" ht="11.25" hidden="1">
      <c r="AF18" s="1744">
        <v>0</v>
      </c>
    </row>
    <row s="8237"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61"/>
      <c r="G21" s="2361"/>
      <c r="H21" s="2361"/>
      <c r="I21" s="2361"/>
      <c r="J21" s="669"/>
      <c r="AF21" s="1744">
        <v>24</v>
      </c>
    </row>
    <row customHeight="1" ht="25.2">
      <c r="E22" s="2362" t="str">
        <f>IF(org=0,"Не определено",org)</f>
        <v>МУП ЖКХ "Родник"</v>
      </c>
      <c r="F22" s="2362"/>
      <c r="G22" s="2362"/>
      <c r="H22" s="2362"/>
      <c r="I22" s="2362"/>
      <c r="AF22" s="1744">
        <v>24</v>
      </c>
    </row>
    <row customHeight="1" ht="11.549999999999999">
      <c r="E23" s="1248"/>
      <c r="F23" s="1248"/>
      <c r="G23" s="1248"/>
      <c r="H23" s="1248"/>
      <c r="I23" s="1248"/>
      <c r="AF23" s="1744">
        <v>11</v>
      </c>
    </row>
    <row s="8355" customFormat="1" customHeight="1" ht="1.05">
      <c r="A24" s="1280"/>
      <c r="D24" s="1755"/>
      <c r="H24" s="1002"/>
      <c r="I24" s="1002" t="s">
        <v>192</v>
      </c>
      <c r="AF24" s="1749">
        <v>1</v>
      </c>
    </row>
    <row customHeight="1" ht="11.549999999999999">
      <c r="E25" s="824"/>
      <c r="F25" s="2480" t="s">
        <v>183</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693</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694</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428</v>
      </c>
      <c r="F28" s="2483"/>
      <c r="G28" s="2483"/>
      <c r="H28" s="1758"/>
      <c r="I28" s="1758"/>
      <c r="J28" s="2240"/>
      <c r="AF28" s="1744">
        <v>11</v>
      </c>
    </row>
    <row customHeight="1" ht="24">
      <c r="E29" s="1759" t="s">
        <v>88</v>
      </c>
      <c r="F29" s="1766" t="s">
        <v>430</v>
      </c>
      <c r="G29" s="1766" t="s">
        <v>695</v>
      </c>
      <c r="H29" s="1766" t="s">
        <v>431</v>
      </c>
      <c r="I29" s="1766" t="s">
        <v>431</v>
      </c>
      <c r="J29" s="2240"/>
      <c r="AF29" s="1744">
        <v>23</v>
      </c>
    </row>
    <row customHeight="1" ht="19.95">
      <c r="D30" s="1751"/>
      <c r="E30" s="659">
        <f>FHD_NUM_P_1</f>
        <v>1</v>
      </c>
      <c r="F30" s="1993" t="str">
        <f>FHD_P_1</f>
        <v>Выручка от регулируемых видов деятельности в сфере холодного водоснабжения</v>
      </c>
      <c r="G30" s="1991" t="s">
        <v>681</v>
      </c>
      <c r="H30" s="670"/>
      <c r="I30" s="670"/>
      <c r="J30" s="402" t="str">
        <f>FHD_NOTE_P_1</f>
        <v>Указывается выручка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регулируемым видам деятельности в сфере холодного водоснабжения, включая:</v>
      </c>
      <c r="G31" s="1991" t="s">
        <v>681</v>
      </c>
      <c r="H31" s="671">
        <f>SUMIF($K33:$K71,$K31,H33:H71)</f>
        <v>0</v>
      </c>
      <c r="I31" s="671">
        <f>SUMIF($K33:$K71,$K31,I33:I71)</f>
        <v>0</v>
      </c>
      <c r="J31" s="402" t="str">
        <f>FHD_NOTE_P_2</f>
        <v>Указывается суммарная себестоимость производимых товаров.</v>
      </c>
      <c r="K31" s="1749" t="s">
        <v>696</v>
      </c>
      <c r="AF31" s="1744">
        <v>11</v>
      </c>
    </row>
    <row customHeight="1" ht="11.549999999999999">
      <c r="D32" s="1751"/>
      <c r="E32" s="659" t="str">
        <f>FHD_NUM_P_3</f>
        <v>2.1</v>
      </c>
      <c r="F32" s="1637" t="str">
        <f>FHD_P_3</f>
        <v>Расходы на оплату холодной воды, приобретаемой у других организаций для последующей подачи потребителям</v>
      </c>
      <c r="G32" s="1991" t="s">
        <v>681</v>
      </c>
      <c r="H32" s="670"/>
      <c r="I32" s="670"/>
      <c r="J32" s="402" t="str">
        <f>FHD_NOTE_P_3</f>
        <v/>
      </c>
      <c r="K32" s="1749" t="str">
        <f>IF((LEN(E32)-LEN(SUBSTITUTE(E32,".","")))/LEN(".")=1,"p","")</f>
        <v>p</v>
      </c>
      <c r="AF32" s="1744">
        <v>11</v>
      </c>
    </row>
    <row customHeight="1" ht="11.25" hidden="1">
      <c r="A33" s="2484" t="s">
        <v>697</v>
      </c>
      <c r="D33" s="1751"/>
      <c r="E33" s="659" t="str">
        <f>FHD_NUM_P_4</f>
        <v/>
      </c>
      <c r="F33" s="1637" t="str">
        <f>FHD_P_4</f>
        <v/>
      </c>
      <c r="G33" s="1991" t="s">
        <v>681</v>
      </c>
      <c r="H33" s="671">
        <f>SUMIF($F34:$F40,$F3,H34:H40)</f>
        <v>0</v>
      </c>
      <c r="I33" s="671">
        <f>SUMIF($F34:$F40,$F3,I34:I40)</f>
        <v>0</v>
      </c>
      <c r="J33" s="402" t="str">
        <f>FHD_NOTE_P_4</f>
        <v/>
      </c>
      <c r="K33" s="1749" t="str">
        <f>IF((LEN(E33)-LEN(SUBSTITUTE(E33,".","")))/LEN(".")=1,"p","")</f>
        <v/>
      </c>
      <c r="AF33" s="1744">
        <v>0</v>
      </c>
    </row>
    <row s="8962" customFormat="1" customHeight="1" ht="0.75" hidden="1">
      <c r="A34" s="2484"/>
      <c r="B34" s="2485" t="str">
        <f>E33&amp;".0"</f>
        <v>.0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8962" customFormat="1" customHeight="1" ht="0.75" hidden="1">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8962" customFormat="1" customHeight="1" ht="0.75" hidden="1">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8962" customFormat="1" customHeight="1" ht="0.75" hidden="1">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8962" customFormat="1" customHeight="1" ht="0.75" hidden="1">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8962" customFormat="1" customHeight="1" ht="0.75" hidden="1">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8354" customFormat="1" customHeight="1" ht="15" hidden="1">
      <c r="A40" s="2484"/>
      <c r="C40" s="1749"/>
      <c r="D40" s="1746"/>
      <c r="E40" s="683"/>
      <c r="F40" s="684" t="s">
        <v>698</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699</v>
      </c>
      <c r="D41" s="1751"/>
      <c r="E41" s="659" t="str">
        <f>FHD_NUM_P_5</f>
        <v/>
      </c>
      <c r="F41" s="1637" t="str">
        <f>FHD_P_5</f>
        <v/>
      </c>
      <c r="G41" s="1991" t="s">
        <v>681</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681</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681</v>
      </c>
      <c r="H43" s="670"/>
      <c r="I43" s="670"/>
      <c r="J43" s="402" t="str">
        <f>FHD_NOTE_P_7</f>
        <v/>
      </c>
      <c r="K43" s="1749" t="str">
        <f>IF((LEN(E43)-LEN(SUBSTITUTE(E43,".","")))/LEN(".")=1,"p","")</f>
        <v/>
      </c>
      <c r="AF43" s="1744">
        <v>0</v>
      </c>
    </row>
    <row customHeight="1" ht="11.549999999999999">
      <c r="D44" s="1751"/>
      <c r="E44" s="659" t="str">
        <f>FHD_NUM_P_8</f>
        <v>2.2</v>
      </c>
      <c r="F44" s="1637" t="str">
        <f>FHD_P_8</f>
        <v>Расходы на приобретаемую электрическую энергию (мощность), используемую в технологическом процессе</v>
      </c>
      <c r="G44" s="1991" t="s">
        <v>681</v>
      </c>
      <c r="H44" s="670"/>
      <c r="I44" s="670"/>
      <c r="J44" s="402" t="str">
        <f>FHD_NOTE_P_8</f>
        <v/>
      </c>
      <c r="K44" s="1749" t="str">
        <f>IF((LEN(E44)-LEN(SUBSTITUTE(E44,".","")))/LEN(".")=1,"p","")</f>
        <v>p</v>
      </c>
      <c r="AF44" s="1744">
        <v>11</v>
      </c>
    </row>
    <row customHeight="1" ht="11.549999999999999">
      <c r="D45" s="1751"/>
      <c r="E45" s="659" t="str">
        <f>FHD_NUM_P_9</f>
        <v>2.2.1</v>
      </c>
      <c r="F45" s="1763" t="str">
        <f>FHD_P_9</f>
        <v>Средневзвешенная стоимость 1 кВт.ч (с учетом мощности)</v>
      </c>
      <c r="G45" s="1991" t="s">
        <v>700</v>
      </c>
      <c r="H45" s="670"/>
      <c r="I45" s="670"/>
      <c r="J45" s="402" t="str">
        <f>FHD_NOTE_P_9</f>
        <v/>
      </c>
      <c r="K45" s="1749" t="str">
        <f>IF((LEN(E45)-LEN(SUBSTITUTE(E45,".","")))/LEN(".")=1,"p","")</f>
        <v/>
      </c>
      <c r="AF45" s="1744">
        <v>11</v>
      </c>
    </row>
    <row s="8354" customFormat="1" customHeight="1" ht="11.549999999999999">
      <c r="A46" s="1100"/>
      <c r="C46" s="1749"/>
      <c r="D46" s="687"/>
      <c r="E46" s="659" t="str">
        <f>FHD_NUM_P_10</f>
        <v>2.2.2</v>
      </c>
      <c r="F46" s="1763" t="str">
        <f>FHD_P_10</f>
        <v>Объём приобретения электрической энергии</v>
      </c>
      <c r="G46" s="1991" t="s">
        <v>701</v>
      </c>
      <c r="H46" s="670"/>
      <c r="I46" s="670"/>
      <c r="J46" s="402" t="str">
        <f>FHD_NOTE_P_10</f>
        <v/>
      </c>
      <c r="K46" s="1749" t="str">
        <f>IF((LEN(E46)-LEN(SUBSTITUTE(E46,".","")))/LEN(".")=1,"p","")</f>
        <v/>
      </c>
      <c r="L46" s="1749"/>
      <c r="M46" s="1749"/>
      <c r="R46" s="1749"/>
      <c r="U46" s="657"/>
      <c r="AA46" s="1745"/>
      <c r="AB46" s="1745"/>
      <c r="AC46" s="1745"/>
      <c r="AD46" s="1745"/>
      <c r="AE46" s="1745"/>
      <c r="AF46" s="1273">
        <v>11</v>
      </c>
    </row>
    <row s="8354" customFormat="1" customHeight="1" ht="11.25" hidden="1">
      <c r="A47" s="1102" t="s">
        <v>702</v>
      </c>
      <c r="C47" s="1749"/>
      <c r="D47" s="688"/>
      <c r="E47" s="659" t="str">
        <f>FHD_NUM_P_11</f>
        <v/>
      </c>
      <c r="F47" s="1637" t="str">
        <f>FHD_P_11</f>
        <v/>
      </c>
      <c r="G47" s="1991" t="s">
        <v>681</v>
      </c>
      <c r="H47" s="670"/>
      <c r="I47" s="670"/>
      <c r="J47" s="402" t="str">
        <f>FHD_NOTE_P_11</f>
        <v/>
      </c>
      <c r="K47" s="1749" t="str">
        <f>IF((LEN(E47)-LEN(SUBSTITUTE(E47,".","")))/LEN(".")=1,"p","")</f>
        <v/>
      </c>
      <c r="L47" s="1749"/>
      <c r="M47" s="1749"/>
      <c r="R47" s="1749"/>
      <c r="U47" s="657"/>
      <c r="AA47" s="1745"/>
      <c r="AB47" s="1745"/>
      <c r="AC47" s="1745"/>
      <c r="AD47" s="1745"/>
      <c r="AE47" s="1745"/>
      <c r="AF47" s="1273">
        <v>0</v>
      </c>
    </row>
    <row s="8354" customFormat="1" customHeight="1" ht="18.75">
      <c r="A48" s="1102" t="s">
        <v>703</v>
      </c>
      <c r="C48" s="1749"/>
      <c r="D48" s="1751"/>
      <c r="E48" s="659" t="str">
        <f>FHD_NUM_P_12</f>
        <v>2.3</v>
      </c>
      <c r="F48" s="1637" t="str">
        <f>FHD_P_12</f>
        <v>Расходы на химические реагенты, используемые в технологическом процессе</v>
      </c>
      <c r="G48" s="1991" t="s">
        <v>681</v>
      </c>
      <c r="H48" s="690"/>
      <c r="I48" s="690"/>
      <c r="J48" s="402" t="str">
        <f>FHD_NOTE_P_12</f>
        <v/>
      </c>
      <c r="K48" s="1749" t="str">
        <f>IF((LEN(E48)-LEN(SUBSTITUTE(E48,".","")))/LEN(".")=1,"p","")</f>
        <v>p</v>
      </c>
      <c r="L48" s="1749"/>
      <c r="M48" s="1749"/>
      <c r="R48" s="1749"/>
      <c r="U48" s="657"/>
      <c r="AA48" s="1745"/>
      <c r="AB48" s="1745"/>
      <c r="AC48" s="1745"/>
      <c r="AD48" s="1745"/>
      <c r="AE48" s="1745"/>
      <c r="AF48" s="1273">
        <v>18</v>
      </c>
    </row>
    <row s="12388" customFormat="1" customHeight="1" ht="11.549999999999999">
      <c r="A49" s="1101"/>
      <c r="C49" s="843"/>
      <c r="D49" s="786"/>
      <c r="E49" s="659" t="str">
        <f>FHD_NUM_P_13</f>
        <v>2.4</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681</v>
      </c>
      <c r="H49" s="670"/>
      <c r="I49" s="670"/>
      <c r="J49" s="402" t="str">
        <f>FHD_NOTE_P_13</f>
        <v>Указывается общая сумма расходов на оплату труда и отчислений на социальные нужды основного производственного персонала.</v>
      </c>
      <c r="K49" s="1749" t="str">
        <f>IF((LEN(E49)-LEN(SUBSTITUTE(E49,".","")))/LEN(".")=1,"p","")</f>
        <v>p</v>
      </c>
      <c r="L49" s="843"/>
      <c r="M49" s="843"/>
      <c r="R49" s="843"/>
      <c r="U49" s="844"/>
      <c r="AA49" s="845"/>
      <c r="AB49" s="845"/>
      <c r="AC49" s="845"/>
      <c r="AD49" s="845"/>
      <c r="AE49" s="845"/>
      <c r="AF49" s="842">
        <v>11</v>
      </c>
    </row>
    <row s="12388" customFormat="1" customHeight="1" ht="11.549999999999999">
      <c r="A50" s="1101"/>
      <c r="C50" s="843"/>
      <c r="D50" s="786"/>
      <c r="E50" s="659" t="str">
        <f>FHD_NUM_P_14</f>
        <v>2.4.1</v>
      </c>
      <c r="F50" s="1763" t="str">
        <f>FHD_P_14</f>
        <v>Расходы на оплату труда основного производственного персонала</v>
      </c>
      <c r="G50" s="1991" t="s">
        <v>681</v>
      </c>
      <c r="H50" s="670"/>
      <c r="I50" s="670"/>
      <c r="J50" s="402" t="str">
        <f>FHD_NOTE_P_14</f>
        <v/>
      </c>
      <c r="K50" s="1749" t="str">
        <f>IF((LEN(E50)-LEN(SUBSTITUTE(E50,".","")))/LEN(".")=1,"p","")</f>
        <v/>
      </c>
      <c r="L50" s="843"/>
      <c r="M50" s="843"/>
      <c r="R50" s="843"/>
      <c r="U50" s="844"/>
      <c r="AA50" s="845"/>
      <c r="AB50" s="845"/>
      <c r="AC50" s="845"/>
      <c r="AD50" s="845"/>
      <c r="AE50" s="845"/>
      <c r="AF50" s="842">
        <v>11</v>
      </c>
    </row>
    <row s="12388" customFormat="1" customHeight="1" ht="11.549999999999999">
      <c r="A51" s="1101"/>
      <c r="C51" s="843"/>
      <c r="D51" s="786"/>
      <c r="E51" s="659" t="str">
        <f>FHD_NUM_P_15</f>
        <v>2.4.2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681</v>
      </c>
      <c r="H51" s="670"/>
      <c r="I51" s="670"/>
      <c r="J51" s="402" t="str">
        <f>FHD_NOTE_P_15</f>
        <v/>
      </c>
      <c r="K51" s="1749" t="str">
        <f>IF((LEN(E51)-LEN(SUBSTITUTE(E51,".","")))/LEN(".")=1,"p","")</f>
        <v/>
      </c>
      <c r="L51" s="843"/>
      <c r="M51" s="843"/>
      <c r="R51" s="843"/>
      <c r="U51" s="844"/>
      <c r="AA51" s="845"/>
      <c r="AB51" s="845"/>
      <c r="AC51" s="845"/>
      <c r="AD51" s="845"/>
      <c r="AE51" s="845"/>
      <c r="AF51" s="842">
        <v>11</v>
      </c>
    </row>
    <row s="8354" customFormat="1" customHeight="1" ht="11.549999999999999">
      <c r="A52" s="1100"/>
      <c r="C52" s="1749"/>
      <c r="D52" s="1751"/>
      <c r="E52" s="659" t="str">
        <f>FHD_NUM_P_16</f>
        <v>2.5</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681</v>
      </c>
      <c r="H52" s="670"/>
      <c r="I52" s="670"/>
      <c r="J52" s="402" t="str">
        <f>FHD_NOTE_P_16</f>
        <v>Указывается общая сумма расходов на оплату труда и отчислений на социальные нужды административно-управленческого персонала.</v>
      </c>
      <c r="K52" s="1749" t="str">
        <f>IF((LEN(E52)-LEN(SUBSTITUTE(E52,".","")))/LEN(".")=1,"p","")</f>
        <v>p</v>
      </c>
      <c r="L52" s="1749"/>
      <c r="M52" s="1755"/>
      <c r="N52" s="650"/>
      <c r="O52" s="650"/>
      <c r="R52" s="1749"/>
      <c r="U52" s="657"/>
      <c r="AA52" s="1745"/>
      <c r="AB52" s="1745"/>
      <c r="AC52" s="1745"/>
      <c r="AD52" s="1745"/>
      <c r="AE52" s="1745"/>
      <c r="AF52" s="1273">
        <v>11</v>
      </c>
    </row>
    <row s="8354" customFormat="1" customHeight="1" ht="11.549999999999999">
      <c r="A53" s="1100"/>
      <c r="C53" s="1749"/>
      <c r="D53" s="1751"/>
      <c r="E53" s="659" t="str">
        <f>FHD_NUM_P_17</f>
        <v>2.5.1</v>
      </c>
      <c r="F53" s="1763" t="str">
        <f>FHD_P_17</f>
        <v>Расходы на оплату труда административно-управленческого персонала</v>
      </c>
      <c r="G53" s="1991" t="s">
        <v>681</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8354" customFormat="1" customHeight="1" ht="11.549999999999999">
      <c r="A54" s="1100"/>
      <c r="C54" s="1749"/>
      <c r="D54" s="1751"/>
      <c r="E54" s="659" t="str">
        <f>FHD_NUM_P_18</f>
        <v>2.5.2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681</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8354" customFormat="1" customHeight="1" ht="11.549999999999999">
      <c r="A55" s="1100"/>
      <c r="C55" s="1749"/>
      <c r="D55" s="688"/>
      <c r="E55" s="659" t="str">
        <f>FHD_NUM_P_19</f>
        <v>2.6</v>
      </c>
      <c r="F55" s="1637" t="str">
        <f>FHD_P_19</f>
        <v>Расходы на амортизацию основных средств и нематериальных активов</v>
      </c>
      <c r="G55" s="1991" t="s">
        <v>681</v>
      </c>
      <c r="H55" s="670"/>
      <c r="I55" s="670"/>
      <c r="J55" s="402" t="str">
        <f>FHD_NOTE_P_19</f>
        <v/>
      </c>
      <c r="K55" s="1749" t="str">
        <f>IF((LEN(E55)-LEN(SUBSTITUTE(E55,".","")))/LEN(".")=1,"p","")</f>
        <v>p</v>
      </c>
      <c r="L55" s="1749"/>
      <c r="M55" s="1749"/>
      <c r="R55" s="1749"/>
      <c r="U55" s="657"/>
      <c r="AA55" s="1745"/>
      <c r="AB55" s="1745"/>
      <c r="AC55" s="1745"/>
      <c r="AD55" s="1745"/>
      <c r="AE55" s="1745"/>
      <c r="AF55" s="1273">
        <v>11</v>
      </c>
    </row>
    <row s="8354" customFormat="1" customHeight="1" ht="11.549999999999999">
      <c r="A56" s="1100"/>
      <c r="C56" s="1749"/>
      <c r="D56" s="688"/>
      <c r="E56" s="659" t="str">
        <f>FHD_NUM_P_20</f>
        <v>2.6.1</v>
      </c>
      <c r="F56" s="1763" t="str">
        <f>FHD_P_20</f>
        <v>Расходы на амортизацию основных средств</v>
      </c>
      <c r="G56" s="1991" t="s">
        <v>681</v>
      </c>
      <c r="H56" s="670"/>
      <c r="I56" s="670"/>
      <c r="J56" s="402" t="str">
        <f>FHD_NOTE_P_20</f>
        <v/>
      </c>
      <c r="K56" s="1749" t="str">
        <f>IF((LEN(E56)-LEN(SUBSTITUTE(E56,".","")))/LEN(".")=1,"p","")</f>
        <v/>
      </c>
      <c r="L56" s="1749"/>
      <c r="M56" s="1749"/>
      <c r="R56" s="1749"/>
      <c r="U56" s="657"/>
      <c r="AA56" s="1745"/>
      <c r="AB56" s="1745"/>
      <c r="AC56" s="1745"/>
      <c r="AD56" s="1745"/>
      <c r="AE56" s="1745"/>
      <c r="AF56" s="1273">
        <v>11</v>
      </c>
    </row>
    <row s="8354" customFormat="1" customHeight="1" ht="11.549999999999999">
      <c r="A57" s="1100"/>
      <c r="C57" s="1749"/>
      <c r="D57" s="688"/>
      <c r="E57" s="659" t="str">
        <f>FHD_NUM_P_21</f>
        <v>2.6.2</v>
      </c>
      <c r="F57" s="1763" t="str">
        <f>FHD_P_21</f>
        <v>Расходы на амортизацию нематериальных активов</v>
      </c>
      <c r="G57" s="1991" t="s">
        <v>681</v>
      </c>
      <c r="H57" s="670"/>
      <c r="I57" s="670"/>
      <c r="J57" s="402" t="str">
        <f>FHD_NOTE_P_21</f>
        <v/>
      </c>
      <c r="K57" s="1749" t="str">
        <f>IF((LEN(E57)-LEN(SUBSTITUTE(E57,".","")))/LEN(".")=1,"p","")</f>
        <v/>
      </c>
      <c r="L57" s="1749"/>
      <c r="M57" s="1749"/>
      <c r="R57" s="1749"/>
      <c r="U57" s="657"/>
      <c r="AA57" s="1745"/>
      <c r="AB57" s="1745"/>
      <c r="AC57" s="1745"/>
      <c r="AD57" s="1745"/>
      <c r="AE57" s="1745"/>
      <c r="AF57" s="1273">
        <v>11</v>
      </c>
    </row>
    <row s="8354" customFormat="1" customHeight="1" ht="11.549999999999999">
      <c r="A58" s="1100"/>
      <c r="C58" s="1749"/>
      <c r="D58" s="1751"/>
      <c r="E58" s="659" t="str">
        <f>FHD_NUM_P_22</f>
        <v>2.7</v>
      </c>
      <c r="F58" s="1637" t="str">
        <f>FHD_P_22</f>
        <v>Расходы на аренду имущества, используемого для осуществления регулируемых видов деятельности в сфере холодного водоснабжения</v>
      </c>
      <c r="G58" s="1991" t="s">
        <v>681</v>
      </c>
      <c r="H58" s="670"/>
      <c r="I58" s="670"/>
      <c r="J58" s="402" t="str">
        <f>FHD_NOTE_P_22</f>
        <v/>
      </c>
      <c r="K58" s="1749" t="str">
        <f>IF((LEN(E58)-LEN(SUBSTITUTE(E58,".","")))/LEN(".")=1,"p","")</f>
        <v>p</v>
      </c>
      <c r="L58" s="1749"/>
      <c r="M58" s="1749"/>
      <c r="R58" s="1749"/>
      <c r="U58" s="657"/>
      <c r="AA58" s="1745"/>
      <c r="AB58" s="1745"/>
      <c r="AC58" s="1745"/>
      <c r="AD58" s="1745"/>
      <c r="AE58" s="1745"/>
      <c r="AF58" s="1273">
        <v>11</v>
      </c>
    </row>
    <row s="8354" customFormat="1" customHeight="1" ht="11.549999999999999">
      <c r="A59" s="1100"/>
      <c r="C59" s="1749"/>
      <c r="D59" s="688"/>
      <c r="E59" s="659" t="str">
        <f>FHD_NUM_P_23</f>
        <v>2.8</v>
      </c>
      <c r="F59" s="1637" t="str">
        <f>FHD_P_23</f>
        <v>Общепроизводственные расходы, в том числе:</v>
      </c>
      <c r="G59" s="1991" t="s">
        <v>681</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8354" customFormat="1" customHeight="1" ht="11.549999999999999">
      <c r="A60" s="1100"/>
      <c r="C60" s="1749"/>
      <c r="D60" s="688"/>
      <c r="E60" s="659" t="str">
        <f>FHD_NUM_P_24</f>
        <v>2.8.1</v>
      </c>
      <c r="F60" s="1763" t="str">
        <f>FHD_P_24</f>
        <v>Расходы на текущий ремонт</v>
      </c>
      <c r="G60" s="1991" t="s">
        <v>681</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8354" customFormat="1" customHeight="1" ht="11.549999999999999">
      <c r="A61" s="1100"/>
      <c r="C61" s="1749"/>
      <c r="D61" s="688"/>
      <c r="E61" s="659" t="str">
        <f>FHD_NUM_P_25</f>
        <v>2.8.2</v>
      </c>
      <c r="F61" s="1763" t="str">
        <f>FHD_P_25</f>
        <v>Расходы на капитальный ремонт</v>
      </c>
      <c r="G61" s="1991" t="s">
        <v>681</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8354" customFormat="1" customHeight="1" ht="11.549999999999999">
      <c r="A62" s="1100"/>
      <c r="C62" s="1749"/>
      <c r="D62" s="1751"/>
      <c r="E62" s="659" t="str">
        <f>FHD_NUM_P_26</f>
        <v>2.9</v>
      </c>
      <c r="F62" s="1637" t="str">
        <f>FHD_P_26</f>
        <v>Общехозяйственные расходы, в том числе:</v>
      </c>
      <c r="G62" s="1991" t="s">
        <v>681</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8354" customFormat="1" customHeight="1" ht="11.549999999999999">
      <c r="A63" s="1100"/>
      <c r="C63" s="1749"/>
      <c r="D63" s="1751"/>
      <c r="E63" s="659" t="str">
        <f>FHD_NUM_P_27</f>
        <v>2.9.1</v>
      </c>
      <c r="F63" s="1763" t="str">
        <f>FHD_P_27</f>
        <v>Расходы на текущий ремонт</v>
      </c>
      <c r="G63" s="1991" t="s">
        <v>681</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8354" customFormat="1" customHeight="1" ht="11.549999999999999">
      <c r="A64" s="1100"/>
      <c r="C64" s="1749"/>
      <c r="D64" s="1751"/>
      <c r="E64" s="659" t="str">
        <f>FHD_NUM_P_28</f>
        <v>2.9.2</v>
      </c>
      <c r="F64" s="1763" t="str">
        <f>FHD_P_28</f>
        <v>Расходы на капитальный ремонт</v>
      </c>
      <c r="G64" s="1991" t="s">
        <v>681</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8354" customFormat="1" customHeight="1" ht="11.549999999999999">
      <c r="A65" s="1100"/>
      <c r="C65" s="1749"/>
      <c r="D65" s="1751"/>
      <c r="E65" s="659" t="str">
        <f>FHD_NUM_P_29</f>
        <v>2.10</v>
      </c>
      <c r="F65" s="1637" t="str">
        <f>FHD_P_29</f>
        <v>Расходы на капитальный и текущий ремонт основных средств</v>
      </c>
      <c r="G65" s="1991" t="s">
        <v>681</v>
      </c>
      <c r="H65" s="670"/>
      <c r="I65" s="670"/>
      <c r="J65" s="40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8354" customFormat="1" customHeight="1" ht="11.549999999999999">
      <c r="A66" s="1100"/>
      <c r="C66" s="1749"/>
      <c r="D66" s="1751"/>
      <c r="E66" s="659" t="str">
        <f>FHD_NUM_P_30</f>
        <v>2.10.1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434</v>
      </c>
      <c r="H66" s="1762" t="s">
        <v>704</v>
      </c>
      <c r="I66" s="1762" t="s">
        <v>704</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8354" customFormat="1" customHeight="1" ht="23.25">
      <c r="A67" s="2484" t="s">
        <v>705</v>
      </c>
      <c r="C67" s="1749"/>
      <c r="D67" s="1751"/>
      <c r="E67" s="659" t="str">
        <f>FHD_NUM_P_31</f>
        <v>2.11</v>
      </c>
      <c r="F67" s="163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91" t="s">
        <v>681</v>
      </c>
      <c r="H67" s="670"/>
      <c r="I67" s="670"/>
      <c r="J67" s="40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49" t="str">
        <f>IF((LEN(E67)-LEN(SUBSTITUTE(E67,".","")))/LEN(".")=1,"p","")</f>
        <v>p</v>
      </c>
      <c r="L67" s="1749"/>
      <c r="M67" s="1749"/>
      <c r="R67" s="1749"/>
      <c r="U67" s="657"/>
      <c r="AA67" s="1745"/>
      <c r="AB67" s="1745"/>
      <c r="AC67" s="1745"/>
      <c r="AD67" s="1745"/>
      <c r="AE67" s="1745"/>
      <c r="AF67" s="1273">
        <v>22</v>
      </c>
    </row>
    <row s="8354" customFormat="1" customHeight="1" ht="47.25">
      <c r="A68" s="2484"/>
      <c r="C68" s="1749"/>
      <c r="D68" s="1751"/>
      <c r="E68" s="659" t="str">
        <f>FHD_NUM_P_32</f>
        <v>2.11.1</v>
      </c>
      <c r="F68" s="17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91" t="s">
        <v>434</v>
      </c>
      <c r="H68" s="1762" t="s">
        <v>704</v>
      </c>
      <c r="I68" s="1762" t="s">
        <v>704</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8354" customFormat="1" customHeight="1" ht="11.549999999999999">
      <c r="A69" s="1100"/>
      <c r="C69" s="1749"/>
      <c r="D69" s="1751"/>
      <c r="E69" s="659" t="str">
        <f>FHD_NUM_P_33</f>
        <v>2.12</v>
      </c>
      <c r="F69" s="163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92" t="s">
        <v>681</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49" t="str">
        <f>IF((LEN(E69)-LEN(SUBSTITUTE(E69,".","")))/LEN(".")=1,"p","")</f>
        <v>p</v>
      </c>
      <c r="L69" s="1749"/>
      <c r="M69" s="1749"/>
      <c r="R69" s="1749"/>
      <c r="U69" s="657"/>
      <c r="AA69" s="1745"/>
      <c r="AB69" s="1745"/>
      <c r="AC69" s="1745"/>
      <c r="AD69" s="1745"/>
      <c r="AE69" s="1745"/>
      <c r="AF69" s="1273">
        <v>11</v>
      </c>
    </row>
    <row s="8355" customFormat="1" customHeight="1" ht="1.05">
      <c r="A70" s="1280"/>
      <c r="D70" s="661"/>
      <c r="E70" s="1126" t="str">
        <f>E69&amp;".0"</f>
        <v>2.12.0</v>
      </c>
      <c r="F70" s="1104"/>
      <c r="G70" s="1126"/>
      <c r="H70" s="1105"/>
      <c r="I70" s="1105"/>
      <c r="J70" s="1106"/>
      <c r="K70" s="1749" t="str">
        <f>IF((LEN(E70)-LEN(SUBSTITUTE(E70,".","")))/LEN(".")=1,"p","")</f>
        <v/>
      </c>
      <c r="AF70" s="1749">
        <v>1</v>
      </c>
    </row>
    <row s="8354" customFormat="1" customHeight="1" ht="14.699999999999998">
      <c r="A71" s="1100"/>
      <c r="C71" s="1749"/>
      <c r="D71" s="1746"/>
      <c r="E71" s="683"/>
      <c r="F71" s="684" t="s">
        <v>706</v>
      </c>
      <c r="G71" s="685"/>
      <c r="H71" s="686"/>
      <c r="I71" s="686"/>
      <c r="J71" s="414"/>
      <c r="K71" s="1749"/>
      <c r="L71" s="1749"/>
      <c r="M71" s="1749"/>
      <c r="R71" s="1749"/>
      <c r="U71" s="657"/>
      <c r="AA71" s="1745"/>
      <c r="AB71" s="1745"/>
      <c r="AC71" s="1745"/>
      <c r="AD71" s="1745"/>
      <c r="AE71" s="1745"/>
      <c r="AF71" s="1273">
        <v>14</v>
      </c>
    </row>
    <row s="8354" customFormat="1" customHeight="1" ht="18.75" hidden="1">
      <c r="A72" s="1102" t="s">
        <v>707</v>
      </c>
      <c r="C72" s="1749"/>
      <c r="D72" s="1751"/>
      <c r="E72" s="659" t="str">
        <f>FHD_NUM_P_34</f>
        <v/>
      </c>
      <c r="F72" s="1993" t="str">
        <f>FHD_P_34</f>
        <v/>
      </c>
      <c r="G72" s="1991" t="s">
        <v>681</v>
      </c>
      <c r="H72" s="670"/>
      <c r="I72" s="670"/>
      <c r="J72" s="402" t="str">
        <f>FHD_NOTE_P_34</f>
        <v/>
      </c>
      <c r="K72" s="656"/>
      <c r="L72" s="1749"/>
      <c r="M72" s="1749"/>
      <c r="R72" s="1749"/>
      <c r="U72" s="657"/>
      <c r="AA72" s="1745"/>
      <c r="AB72" s="1745"/>
      <c r="AC72" s="1745"/>
      <c r="AD72" s="1745"/>
      <c r="AE72" s="1745"/>
      <c r="AF72" s="1273">
        <v>0</v>
      </c>
    </row>
    <row s="8354" customFormat="1" customHeight="1" ht="19.95">
      <c r="A73" s="1100"/>
      <c r="C73" s="1749"/>
      <c r="D73" s="688"/>
      <c r="E73" s="659" t="str">
        <f>FHD_NUM_P_35</f>
        <v>3</v>
      </c>
      <c r="F73" s="1993" t="str">
        <f>FHD_P_35</f>
        <v>Чистая прибыль, полученная от регулируемого вида деятельности в сфере холодного водоснабжения, в том числе:</v>
      </c>
      <c r="G73" s="1991" t="s">
        <v>681</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8354" customFormat="1" customHeight="1" ht="19.95">
      <c r="A74" s="1100"/>
      <c r="C74" s="1749"/>
      <c r="D74" s="1751"/>
      <c r="E74" s="659" t="str">
        <f>FHD_NUM_P_36</f>
        <v>3.1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681</v>
      </c>
      <c r="H74" s="670"/>
      <c r="I74" s="670"/>
      <c r="J74" s="402" t="str">
        <f>FHD_NOTE_P_36</f>
        <v/>
      </c>
      <c r="K74" s="656"/>
      <c r="L74" s="1749"/>
      <c r="M74" s="1749"/>
      <c r="R74" s="1749"/>
      <c r="U74" s="657"/>
      <c r="AA74" s="1745"/>
      <c r="AB74" s="1745"/>
      <c r="AC74" s="1745"/>
      <c r="AD74" s="1745"/>
      <c r="AE74" s="1745"/>
      <c r="AF74" s="1273">
        <v>19</v>
      </c>
    </row>
    <row s="8354" customFormat="1" customHeight="1" ht="19.95">
      <c r="A75" s="1100"/>
      <c r="C75" s="1749"/>
      <c r="D75" s="1751"/>
      <c r="E75" s="659" t="str">
        <f>FHD_NUM_P_37</f>
        <v>4</v>
      </c>
      <c r="F75" s="1993" t="str">
        <f>FHD_P_37</f>
        <v>Изменение стоимости основных фондов, в том числе:</v>
      </c>
      <c r="G75" s="1991" t="s">
        <v>681</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8354" customFormat="1" customHeight="1" ht="19.95">
      <c r="A76" s="1100"/>
      <c r="C76" s="1749"/>
      <c r="D76" s="1751"/>
      <c r="E76" s="659" t="str">
        <f>FHD_NUM_P_38</f>
        <v>4.1</v>
      </c>
      <c r="F76" s="1637" t="str">
        <f>FHD_P_38</f>
        <v>Изменение стоимости основных фондов за счет их ввода в эксплуатацию (вывода из эксплуатации)</v>
      </c>
      <c r="G76" s="1991" t="s">
        <v>681</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8354" customFormat="1" customHeight="1" ht="19.95">
      <c r="A77" s="1100"/>
      <c r="C77" s="1749"/>
      <c r="D77" s="1751"/>
      <c r="E77" s="659" t="str">
        <f>FHD_NUM_P_39</f>
        <v>4.1.1</v>
      </c>
      <c r="F77" s="1763" t="str">
        <f>FHD_P_39</f>
        <v>Изменение стоимости основных фондов за счет их ввода в эксплуатацию</v>
      </c>
      <c r="G77" s="2185" t="s">
        <v>681</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8354" customFormat="1" customHeight="1" ht="19.95">
      <c r="A78" s="1100"/>
      <c r="C78" s="1749"/>
      <c r="D78" s="1751"/>
      <c r="E78" s="659" t="str">
        <f>FHD_NUM_P_40</f>
        <v>4.1.2</v>
      </c>
      <c r="F78" s="2189" t="str">
        <f>FHD_P_40</f>
        <v>Изменение стоимости основных фондов за счет их вывода в эксплуатацию</v>
      </c>
      <c r="G78" s="2184" t="s">
        <v>681</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8354" customFormat="1" customHeight="1" ht="19.95">
      <c r="A79" s="1100"/>
      <c r="C79" s="1749"/>
      <c r="D79" s="1751"/>
      <c r="E79" s="659" t="str">
        <f>FHD_NUM_P_41</f>
        <v>4.2</v>
      </c>
      <c r="F79" s="2188" t="str">
        <f>FHD_P_41</f>
        <v>Изменение стоимости основных фондов за счет их переоценки</v>
      </c>
      <c r="G79" s="2184" t="s">
        <v>681</v>
      </c>
      <c r="H79" s="1089"/>
      <c r="I79" s="670"/>
      <c r="J79" s="402" t="str">
        <f>FHD_NOTE_P_41</f>
        <v/>
      </c>
      <c r="K79" s="656"/>
      <c r="L79" s="1749"/>
      <c r="M79" s="1749"/>
      <c r="R79" s="1749"/>
      <c r="U79" s="657"/>
      <c r="AA79" s="1745"/>
      <c r="AB79" s="1745"/>
      <c r="AC79" s="1745"/>
      <c r="AD79" s="1745"/>
      <c r="AE79" s="1745"/>
      <c r="AF79" s="1273">
        <v>19</v>
      </c>
    </row>
    <row s="8354" customFormat="1" customHeight="1" ht="19.95">
      <c r="A80" s="1102" t="s">
        <v>708</v>
      </c>
      <c r="C80" s="1749"/>
      <c r="D80" s="1751"/>
      <c r="E80" s="659" t="str">
        <f>FHD_NUM_P_42</f>
        <v>5</v>
      </c>
      <c r="F80" s="2186" t="str">
        <f>FHD_P_42</f>
        <v>Валовая прибыль (убытки) от продажи товаров и услуг по регулируемым видам деятельности в сфере холодного водоснабжения</v>
      </c>
      <c r="G80" s="2184" t="s">
        <v>681</v>
      </c>
      <c r="H80" s="1089"/>
      <c r="I80" s="670"/>
      <c r="J80" s="402" t="str">
        <f>FHD_NOTE_P_42</f>
        <v/>
      </c>
      <c r="K80" s="656"/>
      <c r="L80" s="1749"/>
      <c r="M80" s="1749"/>
      <c r="R80" s="1749"/>
      <c r="U80" s="657"/>
      <c r="AA80" s="1745"/>
      <c r="AB80" s="1745"/>
      <c r="AC80" s="1745"/>
      <c r="AD80" s="1745"/>
      <c r="AE80" s="1745"/>
      <c r="AF80" s="1273">
        <v>19</v>
      </c>
    </row>
    <row s="8354"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434</v>
      </c>
      <c r="H81" s="1168"/>
      <c r="I81" s="931"/>
      <c r="J81" s="40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56"/>
      <c r="L81" s="1749"/>
      <c r="M81" s="1749"/>
      <c r="R81" s="1749"/>
      <c r="U81" s="657"/>
      <c r="AA81" s="1745"/>
      <c r="AB81" s="1745"/>
      <c r="AC81" s="1745"/>
      <c r="AD81" s="1745"/>
      <c r="AE81" s="1745"/>
      <c r="AF81" s="1273">
        <v>19</v>
      </c>
    </row>
    <row s="8354" customFormat="1" customHeight="1" ht="18.75">
      <c r="A82" s="2484" t="s">
        <v>709</v>
      </c>
      <c r="C82" s="848"/>
      <c r="D82" s="846"/>
      <c r="E82" s="659" t="str">
        <f>FHD_NUM_P_44</f>
        <v>7</v>
      </c>
      <c r="F82" s="1993" t="str">
        <f>FHD_P_44</f>
        <v>Объём поднятой воды</v>
      </c>
      <c r="G82" s="1994" t="s">
        <v>710</v>
      </c>
      <c r="H82" s="1090"/>
      <c r="I82" s="690"/>
      <c r="J82" s="402" t="str">
        <f>FHD_NOTE_P_44</f>
        <v/>
      </c>
      <c r="K82" s="847"/>
      <c r="L82" s="848"/>
      <c r="M82" s="848"/>
      <c r="R82" s="848"/>
      <c r="U82" s="849"/>
      <c r="AA82" s="850"/>
      <c r="AB82" s="850"/>
      <c r="AC82" s="850"/>
      <c r="AD82" s="850"/>
      <c r="AE82" s="850"/>
      <c r="AF82" s="1023">
        <v>0</v>
      </c>
    </row>
    <row s="8354" customFormat="1" customHeight="1" ht="18.75">
      <c r="A83" s="2484"/>
      <c r="C83" s="848"/>
      <c r="D83" s="846"/>
      <c r="E83" s="659" t="str">
        <f>FHD_NUM_P_45</f>
        <v>8</v>
      </c>
      <c r="F83" s="1993" t="str">
        <f>FHD_P_45</f>
        <v>Объём покупной воды</v>
      </c>
      <c r="G83" s="1994" t="s">
        <v>710</v>
      </c>
      <c r="H83" s="1090"/>
      <c r="I83" s="690"/>
      <c r="J83" s="402" t="str">
        <f>FHD_NOTE_P_45</f>
        <v/>
      </c>
      <c r="K83" s="847"/>
      <c r="L83" s="848"/>
      <c r="M83" s="848"/>
      <c r="R83" s="848"/>
      <c r="U83" s="849"/>
      <c r="AA83" s="850"/>
      <c r="AB83" s="850"/>
      <c r="AC83" s="850"/>
      <c r="AD83" s="850"/>
      <c r="AE83" s="850"/>
      <c r="AF83" s="1023">
        <v>0</v>
      </c>
    </row>
    <row s="8354" customFormat="1" customHeight="1" ht="18.75">
      <c r="A84" s="2484"/>
      <c r="C84" s="848"/>
      <c r="D84" s="851"/>
      <c r="E84" s="659" t="str">
        <f>FHD_NUM_P_46</f>
        <v>9</v>
      </c>
      <c r="F84" s="1993" t="str">
        <f>FHD_P_46</f>
        <v>Объём воды, пропущенной через очистные сооружения</v>
      </c>
      <c r="G84" s="1994" t="s">
        <v>710</v>
      </c>
      <c r="H84" s="1090"/>
      <c r="I84" s="690"/>
      <c r="J84" s="402" t="str">
        <f>FHD_NOTE_P_46</f>
        <v/>
      </c>
      <c r="K84" s="847"/>
      <c r="L84" s="848"/>
      <c r="M84" s="848"/>
      <c r="R84" s="848"/>
      <c r="U84" s="849"/>
      <c r="AA84" s="850"/>
      <c r="AB84" s="850"/>
      <c r="AC84" s="850"/>
      <c r="AD84" s="850"/>
      <c r="AE84" s="850"/>
      <c r="AF84" s="1023">
        <v>0</v>
      </c>
    </row>
    <row s="8354" customFormat="1" customHeight="1" ht="18.75">
      <c r="A85" s="2484"/>
      <c r="C85" s="848"/>
      <c r="D85" s="846"/>
      <c r="E85" s="659" t="str">
        <f>FHD_NUM_P_47</f>
        <v>10</v>
      </c>
      <c r="F85" s="1993" t="str">
        <f>FHD_P_47</f>
        <v>Объём отпущенной потребителям воды, в том числе:</v>
      </c>
      <c r="G85" s="1994" t="s">
        <v>710</v>
      </c>
      <c r="H85" s="1090"/>
      <c r="I85" s="690"/>
      <c r="J85" s="402" t="str">
        <f>FHD_NOTE_P_47</f>
        <v>Указывается общий объем отпущенной потребителям воды.</v>
      </c>
      <c r="K85" s="847"/>
      <c r="L85" s="848"/>
      <c r="M85" s="848"/>
      <c r="R85" s="848"/>
      <c r="U85" s="849"/>
      <c r="AA85" s="850"/>
      <c r="AB85" s="850"/>
      <c r="AC85" s="850"/>
      <c r="AD85" s="850"/>
      <c r="AE85" s="850"/>
      <c r="AF85" s="1023">
        <v>0</v>
      </c>
    </row>
    <row s="8273" customFormat="1" customHeight="1" ht="18.75">
      <c r="A86" s="2484"/>
      <c r="B86" s="1023"/>
      <c r="C86" s="848"/>
      <c r="D86" s="846"/>
      <c r="E86" s="659" t="str">
        <f>FHD_NUM_P_48</f>
        <v>10.1</v>
      </c>
      <c r="F86" s="1993" t="str">
        <f>FHD_P_48</f>
        <v>Объём отпущенной потребителям воды, определенный по приборам учета</v>
      </c>
      <c r="G86" s="1994" t="s">
        <v>710</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8273" customFormat="1" customHeight="1" ht="18.75">
      <c r="A87" s="2484"/>
      <c r="B87" s="1023"/>
      <c r="C87" s="848"/>
      <c r="D87" s="846"/>
      <c r="E87" s="659" t="str">
        <f>FHD_NUM_P_49</f>
        <v>10.2</v>
      </c>
      <c r="F87" s="1993" t="str">
        <f>FHD_P_49</f>
        <v>Объём отпущенной потребителям воды, определенный расчетным способом</v>
      </c>
      <c r="G87" s="1994" t="s">
        <v>710</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8273" customFormat="1" customHeight="1" ht="18.75">
      <c r="A88" s="2484"/>
      <c r="B88" s="1023"/>
      <c r="C88" s="848"/>
      <c r="D88" s="846"/>
      <c r="E88" s="659" t="str">
        <f>FHD_NUM_P_50</f>
        <v>10.2.1</v>
      </c>
      <c r="F88" s="1993" t="str">
        <f>FHD_P_50</f>
        <v>Объём отпущенной потребителям воды, определенный по нормативам потребления коммунальных услуг</v>
      </c>
      <c r="G88" s="1994" t="s">
        <v>710</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8273" customFormat="1" customHeight="1" ht="18.75">
      <c r="A89" s="2484"/>
      <c r="B89" s="1023"/>
      <c r="C89" s="848"/>
      <c r="D89" s="846"/>
      <c r="E89" s="659" t="str">
        <f>FHD_NUM_P_51</f>
        <v>10.2.2</v>
      </c>
      <c r="F89" s="1993" t="str">
        <f>FHD_P_51</f>
        <v>Объём отпущенной потребителям воды, определенный по нормативам потребления коммунальных ресурсов </v>
      </c>
      <c r="G89" s="1994" t="s">
        <v>710</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8273" customFormat="1" customHeight="1" ht="18.75">
      <c r="A90" s="2484"/>
      <c r="B90" s="1023"/>
      <c r="C90" s="848"/>
      <c r="D90" s="846"/>
      <c r="E90" s="659" t="str">
        <f>FHD_NUM_P_52</f>
        <v>11</v>
      </c>
      <c r="F90" s="1993" t="str">
        <f>FHD_P_52</f>
        <v>Потери воды в сетях</v>
      </c>
      <c r="G90" s="1994" t="s">
        <v>687</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8354" customFormat="1" customHeight="1" ht="18.75" hidden="1">
      <c r="A91" s="2486" t="s">
        <v>711</v>
      </c>
      <c r="C91" s="848"/>
      <c r="D91" s="846"/>
      <c r="E91" s="659" t="str">
        <f>FHD_NUM_P_53</f>
        <v/>
      </c>
      <c r="F91" s="1993" t="str">
        <f>FHD_P_53</f>
        <v/>
      </c>
      <c r="G91" s="1994" t="s">
        <v>710</v>
      </c>
      <c r="H91" s="1090"/>
      <c r="I91" s="690"/>
      <c r="J91" s="402" t="str">
        <f>FHD_NOTE_P_53</f>
        <v/>
      </c>
      <c r="K91" s="847"/>
      <c r="L91" s="848"/>
      <c r="M91" s="848"/>
      <c r="R91" s="848"/>
      <c r="U91" s="849"/>
      <c r="AA91" s="850"/>
      <c r="AB91" s="850"/>
      <c r="AC91" s="850"/>
      <c r="AD91" s="850"/>
      <c r="AE91" s="850"/>
      <c r="AF91" s="1023">
        <v>0</v>
      </c>
    </row>
    <row s="8354" customFormat="1" customHeight="1" ht="18.75" hidden="1">
      <c r="A92" s="2486"/>
      <c r="C92" s="848"/>
      <c r="D92" s="846"/>
      <c r="E92" s="659" t="str">
        <f>FHD_NUM_P_54</f>
        <v/>
      </c>
      <c r="F92" s="1993" t="str">
        <f>FHD_P_54</f>
        <v/>
      </c>
      <c r="G92" s="1994" t="s">
        <v>710</v>
      </c>
      <c r="H92" s="1090"/>
      <c r="I92" s="690"/>
      <c r="J92" s="402" t="str">
        <f>FHD_NOTE_P_54</f>
        <v/>
      </c>
      <c r="K92" s="847"/>
      <c r="L92" s="848"/>
      <c r="M92" s="848"/>
      <c r="R92" s="848"/>
      <c r="U92" s="849"/>
      <c r="AA92" s="850"/>
      <c r="AB92" s="850"/>
      <c r="AC92" s="850"/>
      <c r="AD92" s="850"/>
      <c r="AE92" s="850"/>
      <c r="AF92" s="1023">
        <v>0</v>
      </c>
    </row>
    <row s="8354"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8354" customFormat="1" customHeight="1" ht="18.75" hidden="1">
      <c r="A94" s="2486"/>
      <c r="C94" s="848"/>
      <c r="D94" s="846"/>
      <c r="E94" s="659" t="str">
        <f>FHD_NUM_P_56</f>
        <v/>
      </c>
      <c r="F94" s="1993" t="str">
        <f>FHD_P_56</f>
        <v/>
      </c>
      <c r="G94" s="1994" t="s">
        <v>712</v>
      </c>
      <c r="H94" s="1090"/>
      <c r="I94" s="690"/>
      <c r="J94" s="402" t="str">
        <f>FHD_NOTE_P_56</f>
        <v/>
      </c>
      <c r="K94" s="847"/>
      <c r="L94" s="848"/>
      <c r="M94" s="848"/>
      <c r="R94" s="848"/>
      <c r="U94" s="849"/>
      <c r="AA94" s="850"/>
      <c r="AB94" s="850"/>
      <c r="AC94" s="850"/>
      <c r="AD94" s="850"/>
      <c r="AE94" s="850"/>
      <c r="AF94" s="1023">
        <v>0</v>
      </c>
    </row>
    <row s="8273" customFormat="1" customHeight="1" ht="18.75" hidden="1">
      <c r="A95" s="2486"/>
      <c r="B95" s="1023"/>
      <c r="C95" s="848"/>
      <c r="D95" s="846"/>
      <c r="E95" s="659" t="str">
        <f>FHD_NUM_P_57</f>
        <v/>
      </c>
      <c r="F95" s="1993" t="str">
        <f>FHD_P_57</f>
        <v/>
      </c>
      <c r="G95" s="1994" t="s">
        <v>687</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713</v>
      </c>
      <c r="D96" s="1751"/>
      <c r="E96" s="659" t="str">
        <f>FHD_NUM_P_58</f>
        <v/>
      </c>
      <c r="F96" s="1993" t="str">
        <f>FHD_P_58</f>
        <v/>
      </c>
      <c r="G96" s="1994" t="s">
        <v>710</v>
      </c>
      <c r="H96" s="1090"/>
      <c r="I96" s="690"/>
      <c r="J96" s="402" t="str">
        <f>FHD_NOTE_P_58</f>
        <v/>
      </c>
      <c r="K96" s="656"/>
      <c r="AF96" s="1744">
        <v>0</v>
      </c>
    </row>
    <row customHeight="1" ht="18.75" hidden="1">
      <c r="A97" s="2484"/>
      <c r="D97" s="1751"/>
      <c r="E97" s="659" t="str">
        <f>FHD_NUM_P_59</f>
        <v/>
      </c>
      <c r="F97" s="1993" t="str">
        <f>FHD_P_59</f>
        <v/>
      </c>
      <c r="G97" s="1994" t="s">
        <v>710</v>
      </c>
      <c r="H97" s="1090"/>
      <c r="I97" s="690"/>
      <c r="J97" s="402" t="str">
        <f>FHD_NOTE_P_59</f>
        <v/>
      </c>
      <c r="K97" s="656"/>
      <c r="AF97" s="1744">
        <v>0</v>
      </c>
    </row>
    <row customHeight="1" ht="18.75" hidden="1">
      <c r="A98" s="2484"/>
      <c r="D98" s="1751"/>
      <c r="E98" s="659" t="str">
        <f>FHD_NUM_P_60</f>
        <v/>
      </c>
      <c r="F98" s="1993" t="str">
        <f>FHD_P_60</f>
        <v/>
      </c>
      <c r="G98" s="1994" t="s">
        <v>710</v>
      </c>
      <c r="H98" s="1090"/>
      <c r="I98" s="690"/>
      <c r="J98" s="402" t="str">
        <f>FHD_NOTE_P_60</f>
        <v/>
      </c>
      <c r="K98" s="656"/>
      <c r="AF98" s="1744">
        <v>0</v>
      </c>
    </row>
    <row s="8354" customFormat="1" customHeight="1" ht="18.75" hidden="1">
      <c r="A99" s="2484" t="s">
        <v>714</v>
      </c>
      <c r="C99" s="1749"/>
      <c r="D99" s="1751"/>
      <c r="E99" s="659" t="str">
        <f>FHD_NUM_P_61</f>
        <v/>
      </c>
      <c r="F99" s="1993" t="str">
        <f>FHD_P_61</f>
        <v/>
      </c>
      <c r="G99" s="1991" t="s">
        <v>685</v>
      </c>
      <c r="H99" s="1092"/>
      <c r="I99" s="855"/>
      <c r="J99" s="402" t="str">
        <f>FHD_NOTE_P_61</f>
        <v/>
      </c>
      <c r="K99" s="656"/>
      <c r="L99" s="1749"/>
      <c r="M99" s="1749"/>
      <c r="R99" s="1749"/>
      <c r="U99" s="657"/>
      <c r="AA99" s="1745"/>
      <c r="AB99" s="1745"/>
      <c r="AC99" s="1745"/>
      <c r="AD99" s="1745"/>
      <c r="AE99" s="1745"/>
      <c r="AF99" s="1273">
        <v>0</v>
      </c>
    </row>
    <row s="8355" customFormat="1" customHeight="1" ht="0.75" hidden="1">
      <c r="A100" s="2484"/>
      <c r="D100" s="661"/>
      <c r="E100" s="1126" t="str">
        <f>E99&amp;".0"</f>
        <v>.0</v>
      </c>
      <c r="F100" s="1107"/>
      <c r="G100" s="1108"/>
      <c r="H100" s="1105"/>
      <c r="I100" s="1105"/>
      <c r="J100" s="1109"/>
      <c r="AF100" s="1749">
        <v>0</v>
      </c>
    </row>
    <row customHeight="1" ht="15" hidden="1">
      <c r="A101" s="2484"/>
      <c r="D101" s="1746"/>
      <c r="E101" s="1084"/>
      <c r="F101" s="1085" t="s">
        <v>715</v>
      </c>
      <c r="G101" s="685"/>
      <c r="H101" s="686"/>
      <c r="I101" s="686"/>
      <c r="J101" s="1117" t="s">
        <v>716</v>
      </c>
      <c r="K101" s="656"/>
      <c r="AF101" s="1744">
        <v>0</v>
      </c>
    </row>
    <row s="8354" customFormat="1" customHeight="1" ht="18.75" hidden="1">
      <c r="A102" s="2484"/>
      <c r="C102" s="1749"/>
      <c r="D102" s="1751"/>
      <c r="E102" s="659" t="str">
        <f>FHD_NUM_P_62</f>
        <v/>
      </c>
      <c r="F102" s="1993" t="str">
        <f>FHD_P_62</f>
        <v/>
      </c>
      <c r="G102" s="1990" t="s">
        <v>685</v>
      </c>
      <c r="H102" s="670"/>
      <c r="I102" s="670"/>
      <c r="J102" s="402" t="str">
        <f>FHD_NOTE_P_62</f>
        <v/>
      </c>
      <c r="K102" s="656"/>
      <c r="L102" s="1749"/>
      <c r="M102" s="1749"/>
      <c r="R102" s="1749"/>
      <c r="U102" s="657"/>
      <c r="AA102" s="1745"/>
      <c r="AB102" s="1745"/>
      <c r="AC102" s="1745"/>
      <c r="AD102" s="1745"/>
      <c r="AE102" s="1745"/>
      <c r="AF102" s="1273">
        <v>0</v>
      </c>
    </row>
    <row s="8354" customFormat="1" customHeight="1" ht="18.75" hidden="1">
      <c r="A103" s="2484"/>
      <c r="C103" s="1749"/>
      <c r="D103" s="1751"/>
      <c r="E103" s="659" t="str">
        <f>FHD_NUM_P_63</f>
        <v/>
      </c>
      <c r="F103" s="1993" t="str">
        <f>FHD_P_63</f>
        <v/>
      </c>
      <c r="G103" s="1990" t="s">
        <v>712</v>
      </c>
      <c r="H103" s="690"/>
      <c r="I103" s="690"/>
      <c r="J103" s="402" t="str">
        <f>FHD_NOTE_P_63</f>
        <v/>
      </c>
      <c r="K103" s="656"/>
      <c r="L103" s="1749"/>
      <c r="M103" s="1749"/>
      <c r="R103" s="1749"/>
      <c r="U103" s="657"/>
      <c r="AA103" s="1745"/>
      <c r="AB103" s="1745"/>
      <c r="AC103" s="1745"/>
      <c r="AD103" s="1745"/>
      <c r="AE103" s="1745"/>
      <c r="AF103" s="1273">
        <v>0</v>
      </c>
    </row>
    <row s="8354" customFormat="1" customHeight="1" ht="18.75" hidden="1">
      <c r="A104" s="2484"/>
      <c r="C104" s="1749" t="s">
        <v>717</v>
      </c>
      <c r="D104" s="1751"/>
      <c r="E104" s="659" t="str">
        <f>FHD_NUM_P_64</f>
        <v/>
      </c>
      <c r="F104" s="1993" t="str">
        <f>FHD_P_64</f>
        <v/>
      </c>
      <c r="G104" s="1990" t="s">
        <v>712</v>
      </c>
      <c r="H104" s="658"/>
      <c r="I104" s="658"/>
      <c r="J104" s="402" t="str">
        <f>FHD_NOTE_P_64</f>
        <v/>
      </c>
      <c r="K104" s="656"/>
      <c r="L104" s="1749"/>
      <c r="M104" s="1749"/>
      <c r="R104" s="1749"/>
      <c r="U104" s="657"/>
      <c r="AA104" s="1745"/>
      <c r="AB104" s="1745"/>
      <c r="AC104" s="1745"/>
      <c r="AD104" s="1745"/>
      <c r="AE104" s="1745"/>
      <c r="AF104" s="1273">
        <v>0</v>
      </c>
    </row>
    <row s="8354" customFormat="1" customHeight="1" ht="18.75" hidden="1">
      <c r="A105" s="2484"/>
      <c r="C105" s="1749"/>
      <c r="D105" s="1751"/>
      <c r="E105" s="659" t="str">
        <f>FHD_NUM_P_65</f>
        <v/>
      </c>
      <c r="F105" s="1993" t="str">
        <f>FHD_P_65</f>
        <v/>
      </c>
      <c r="G105" s="1990" t="s">
        <v>712</v>
      </c>
      <c r="H105" s="690"/>
      <c r="I105" s="690"/>
      <c r="J105" s="402" t="str">
        <f>FHD_NOTE_P_65</f>
        <v/>
      </c>
      <c r="K105" s="656"/>
      <c r="L105" s="1749"/>
      <c r="M105" s="1749"/>
      <c r="R105" s="1749"/>
      <c r="U105" s="657"/>
      <c r="AA105" s="1745"/>
      <c r="AB105" s="1745"/>
      <c r="AC105" s="1745"/>
      <c r="AD105" s="1745"/>
      <c r="AE105" s="1745"/>
      <c r="AF105" s="1273">
        <v>0</v>
      </c>
    </row>
    <row s="8354" customFormat="1" customHeight="1" ht="18.75" hidden="1">
      <c r="A106" s="2484"/>
      <c r="C106" s="1749"/>
      <c r="D106" s="1751"/>
      <c r="E106" s="659" t="str">
        <f>FHD_NUM_P_66</f>
        <v/>
      </c>
      <c r="F106" s="1637" t="str">
        <f>FHD_P_66</f>
        <v/>
      </c>
      <c r="G106" s="1990" t="s">
        <v>712</v>
      </c>
      <c r="H106" s="690"/>
      <c r="I106" s="690"/>
      <c r="J106" s="402" t="str">
        <f>FHD_NOTE_P_66</f>
        <v/>
      </c>
      <c r="K106" s="656"/>
      <c r="L106" s="1749"/>
      <c r="M106" s="1749"/>
      <c r="R106" s="1749"/>
      <c r="U106" s="657"/>
      <c r="AA106" s="1745"/>
      <c r="AB106" s="1745"/>
      <c r="AC106" s="1745"/>
      <c r="AD106" s="1745"/>
      <c r="AE106" s="1745"/>
      <c r="AF106" s="1273">
        <v>0</v>
      </c>
    </row>
    <row s="8354" customFormat="1" customHeight="1" ht="18.75" hidden="1">
      <c r="A107" s="2484"/>
      <c r="C107" s="1749"/>
      <c r="D107" s="1751"/>
      <c r="E107" s="659" t="str">
        <f>FHD_NUM_P_67</f>
        <v/>
      </c>
      <c r="F107" s="1763" t="str">
        <f>FHD_P_67</f>
        <v/>
      </c>
      <c r="G107" s="1990" t="s">
        <v>712</v>
      </c>
      <c r="H107" s="690"/>
      <c r="I107" s="690"/>
      <c r="J107" s="402" t="str">
        <f>FHD_NOTE_P_67</f>
        <v/>
      </c>
      <c r="K107" s="656"/>
      <c r="L107" s="1749"/>
      <c r="M107" s="1749"/>
      <c r="R107" s="1749"/>
      <c r="U107" s="657"/>
      <c r="AA107" s="1745"/>
      <c r="AB107" s="1745"/>
      <c r="AC107" s="1745"/>
      <c r="AD107" s="1745"/>
      <c r="AE107" s="1745"/>
      <c r="AF107" s="1273">
        <v>0</v>
      </c>
    </row>
    <row s="8354" customFormat="1" customHeight="1" ht="18.75" hidden="1">
      <c r="A108" s="2484"/>
      <c r="C108" s="1749"/>
      <c r="D108" s="1751"/>
      <c r="E108" s="659" t="str">
        <f>FHD_NUM_P_68</f>
        <v/>
      </c>
      <c r="F108" s="1637" t="str">
        <f>FHD_P_68</f>
        <v/>
      </c>
      <c r="G108" s="1990" t="s">
        <v>712</v>
      </c>
      <c r="H108" s="690"/>
      <c r="I108" s="690"/>
      <c r="J108" s="402" t="str">
        <f>FHD_NOTE_P_68</f>
        <v/>
      </c>
      <c r="K108" s="656"/>
      <c r="L108" s="1749"/>
      <c r="M108" s="1749"/>
      <c r="R108" s="1749"/>
      <c r="U108" s="657"/>
      <c r="AA108" s="1745"/>
      <c r="AB108" s="1745"/>
      <c r="AC108" s="1745"/>
      <c r="AD108" s="1745"/>
      <c r="AE108" s="1745"/>
      <c r="AF108" s="1273">
        <v>0</v>
      </c>
    </row>
    <row s="8354" customFormat="1" customHeight="1" ht="18.75" hidden="1">
      <c r="A109" s="2484"/>
      <c r="C109" s="1749"/>
      <c r="D109" s="1751"/>
      <c r="E109" s="659" t="str">
        <f>FHD_NUM_P_69</f>
        <v/>
      </c>
      <c r="F109" s="1637" t="str">
        <f>FHD_P_69</f>
        <v/>
      </c>
      <c r="G109" s="1990" t="s">
        <v>712</v>
      </c>
      <c r="H109" s="690"/>
      <c r="I109" s="690"/>
      <c r="J109" s="402" t="str">
        <f>FHD_NOTE_P_69</f>
        <v/>
      </c>
      <c r="K109" s="656"/>
      <c r="L109" s="1749"/>
      <c r="M109" s="1749"/>
      <c r="R109" s="1749"/>
      <c r="U109" s="657"/>
      <c r="AA109" s="1745"/>
      <c r="AB109" s="1745"/>
      <c r="AC109" s="1745"/>
      <c r="AD109" s="1745"/>
      <c r="AE109" s="1745"/>
      <c r="AF109" s="1273">
        <v>0</v>
      </c>
    </row>
    <row s="8354" customFormat="1" customHeight="1" ht="22.5" hidden="1">
      <c r="A110" s="2484"/>
      <c r="C110" s="1749"/>
      <c r="D110" s="1751"/>
      <c r="E110" s="659" t="str">
        <f>FHD_NUM_P_70</f>
        <v/>
      </c>
      <c r="F110" s="1993" t="str">
        <f>FHD_P_70</f>
        <v/>
      </c>
      <c r="G110" s="1990" t="s">
        <v>718</v>
      </c>
      <c r="H110" s="670"/>
      <c r="I110" s="670"/>
      <c r="J110" s="402" t="str">
        <f>FHD_NOTE_P_70</f>
        <v/>
      </c>
      <c r="K110" s="656"/>
      <c r="L110" s="1749"/>
      <c r="M110" s="1749"/>
      <c r="R110" s="1749"/>
      <c r="U110" s="657"/>
      <c r="AA110" s="1745"/>
      <c r="AB110" s="1745"/>
      <c r="AC110" s="1745"/>
      <c r="AD110" s="1745"/>
      <c r="AE110" s="1745"/>
      <c r="AF110" s="1273">
        <v>0</v>
      </c>
    </row>
    <row s="8354" customFormat="1" customHeight="1" ht="22.5" hidden="1">
      <c r="A111" s="2484"/>
      <c r="C111" s="1749"/>
      <c r="D111" s="1751"/>
      <c r="E111" s="659" t="str">
        <f>FHD_NUM_P_71</f>
        <v/>
      </c>
      <c r="F111" s="1993" t="str">
        <f>FHD_P_71</f>
        <v/>
      </c>
      <c r="G111" s="1990" t="s">
        <v>718</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12</v>
      </c>
      <c r="F112" s="1993" t="str">
        <f>FHD_P_72</f>
        <v>Среднесписочная численность основного производственного персонала</v>
      </c>
      <c r="G112" s="1989" t="s">
        <v>719</v>
      </c>
      <c r="H112" s="690"/>
      <c r="I112" s="690"/>
      <c r="J112" s="402" t="str">
        <f>FHD_NOTE_P_72</f>
        <v/>
      </c>
      <c r="K112" s="656"/>
      <c r="AF112" s="1744">
        <v>19</v>
      </c>
    </row>
    <row customHeight="1" ht="18.75" hidden="1">
      <c r="A113" s="1102" t="s">
        <v>720</v>
      </c>
      <c r="D113" s="1751"/>
      <c r="E113" s="659" t="str">
        <f>FHD_NUM_P_73</f>
        <v/>
      </c>
      <c r="F113" s="1993" t="str">
        <f>FHD_P_73</f>
        <v/>
      </c>
      <c r="G113" s="1083" t="s">
        <v>719</v>
      </c>
      <c r="H113" s="1081"/>
      <c r="I113" s="1081"/>
      <c r="J113" s="402" t="str">
        <f>FHD_NOTE_P_73</f>
        <v/>
      </c>
      <c r="K113" s="656"/>
      <c r="AF113" s="1744">
        <v>0</v>
      </c>
    </row>
    <row customHeight="1" ht="33.75">
      <c r="A114" s="1102" t="s">
        <v>721</v>
      </c>
      <c r="D114" s="1751"/>
      <c r="E114" s="659" t="str">
        <f>FHD_NUM_P_74</f>
        <v>13</v>
      </c>
      <c r="F114" s="1993" t="str">
        <f>FHD_P_74</f>
        <v>Удельный расход электрической энергии на подачу воды в сеть</v>
      </c>
      <c r="G114" s="1989" t="s">
        <v>722</v>
      </c>
      <c r="H114" s="690"/>
      <c r="I114" s="690"/>
      <c r="J114" s="402" t="str">
        <f>FHD_NOTE_P_74</f>
        <v/>
      </c>
      <c r="K114" s="656"/>
      <c r="AF114" s="1744">
        <v>0</v>
      </c>
    </row>
    <row s="8273" customFormat="1" customHeight="1" ht="18.75">
      <c r="A115" s="2486" t="s">
        <v>723</v>
      </c>
      <c r="B115" s="1023"/>
      <c r="C115" s="848"/>
      <c r="D115" s="846"/>
      <c r="E115" s="659" t="str">
        <f>FHD_NUM_P_75</f>
        <v>14</v>
      </c>
      <c r="F115" s="1993" t="str">
        <f>FHD_P_75</f>
        <v>Расход воды на собственные нужды, в том числе:</v>
      </c>
      <c r="G115" s="1989" t="s">
        <v>687</v>
      </c>
      <c r="H115" s="670"/>
      <c r="I115" s="670"/>
      <c r="J115" s="402" t="str">
        <f>FHD_NOTE_P_75</f>
        <v>Указывается доля общего расхода воды на собственные нужны от объема отпуска воды потребителям.</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8273" customFormat="1" customHeight="1" ht="18.75">
      <c r="A116" s="2486"/>
      <c r="B116" s="1023"/>
      <c r="C116" s="848"/>
      <c r="D116" s="846"/>
      <c r="E116" s="659" t="str">
        <f>FHD_NUM_P_76</f>
        <v>14.1</v>
      </c>
      <c r="F116" s="1993" t="str">
        <f>FHD_P_76</f>
        <v>Расход воды на хозяйственно-бытовые нужды</v>
      </c>
      <c r="G116" s="1989" t="s">
        <v>687</v>
      </c>
      <c r="H116" s="670"/>
      <c r="I116" s="670"/>
      <c r="J116" s="402" t="str">
        <f>FHD_NOTE_P_76</f>
        <v>Указывается доля расхода воды на хозяйственно-бытовые нужны от объема отпуска воды потребителям.</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8273" customFormat="1" customHeight="1" ht="18.75">
      <c r="A117" s="2486"/>
      <c r="B117" s="1023"/>
      <c r="C117" s="848"/>
      <c r="D117" s="846"/>
      <c r="E117" s="659" t="str">
        <f>FHD_NUM_P_77</f>
        <v>15</v>
      </c>
      <c r="F117" s="1993" t="str">
        <f>FHD_P_77</f>
        <v>Показатель использования производственных объектов (по объему перекачки), в том числе:</v>
      </c>
      <c r="G117" s="1989" t="s">
        <v>687</v>
      </c>
      <c r="H117" s="670"/>
      <c r="I117" s="670"/>
      <c r="J117" s="402"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8355" customFormat="1" customHeight="1" ht="0.75">
      <c r="A118" s="2486"/>
      <c r="D118" s="661"/>
      <c r="E118" s="1126" t="str">
        <f>E117&amp;".0"</f>
        <v>15.0</v>
      </c>
      <c r="F118" s="1110"/>
      <c r="G118" s="1764"/>
      <c r="H118" s="1105"/>
      <c r="I118" s="1105"/>
      <c r="J118" s="1109"/>
      <c r="AF118" s="1749">
        <v>0</v>
      </c>
    </row>
    <row s="8273" customFormat="1" customHeight="1" ht="15">
      <c r="A119" s="2486"/>
      <c r="B119" s="1023"/>
      <c r="C119" s="848"/>
      <c r="D119" s="859"/>
      <c r="E119" s="1086"/>
      <c r="F119" s="1087" t="s">
        <v>724</v>
      </c>
      <c r="G119" s="860"/>
      <c r="H119" s="861"/>
      <c r="I119" s="861"/>
      <c r="J119" s="1116" t="s">
        <v>725</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hidden="1">
      <c r="A120" s="2484" t="s">
        <v>726</v>
      </c>
      <c r="D120" s="1751"/>
      <c r="E120" s="659" t="str">
        <f>FHD_NUM_P_78</f>
        <v/>
      </c>
      <c r="F120" s="1993" t="str">
        <f>FHD_P_78</f>
        <v/>
      </c>
      <c r="G120" s="1990" t="s">
        <v>689</v>
      </c>
      <c r="H120" s="690"/>
      <c r="I120" s="690"/>
      <c r="J120" s="402" t="str">
        <f>FHD_NOTE_P_78</f>
        <v/>
      </c>
      <c r="K120" s="656"/>
      <c r="AF120" s="1744">
        <v>0</v>
      </c>
    </row>
    <row s="8355" customFormat="1" customHeight="1" ht="0.75" hidden="1">
      <c r="A121" s="2484"/>
      <c r="D121" s="661"/>
      <c r="E121" s="1126" t="str">
        <f>E120&amp;".0"</f>
        <v>.0</v>
      </c>
      <c r="F121" s="1110"/>
      <c r="G121" s="1764"/>
      <c r="H121" s="1105"/>
      <c r="I121" s="1105"/>
      <c r="J121" s="1109"/>
      <c r="AF121" s="1749">
        <v>0</v>
      </c>
    </row>
    <row customHeight="1" ht="15" hidden="1">
      <c r="A122" s="2484"/>
      <c r="D122" s="1746"/>
      <c r="E122" s="683"/>
      <c r="F122" s="1281" t="s">
        <v>715</v>
      </c>
      <c r="G122" s="685"/>
      <c r="H122" s="686"/>
      <c r="I122" s="686"/>
      <c r="J122" s="1117" t="s">
        <v>727</v>
      </c>
      <c r="K122" s="656"/>
      <c r="AF122" s="1744">
        <v>0</v>
      </c>
    </row>
    <row customHeight="1" ht="22.5" hidden="1">
      <c r="A123" s="2484"/>
      <c r="D123" s="1751"/>
      <c r="E123" s="659" t="str">
        <f>FHD_NUM_P_79</f>
        <v/>
      </c>
      <c r="F123" s="1993" t="str">
        <f>FHD_P_79</f>
        <v/>
      </c>
      <c r="G123" s="1991" t="s">
        <v>691</v>
      </c>
      <c r="H123" s="690"/>
      <c r="I123" s="690"/>
      <c r="J123" s="402" t="str">
        <f>FHD_NOTE_P_79</f>
        <v/>
      </c>
      <c r="K123" s="656"/>
      <c r="AF123" s="1744">
        <v>0</v>
      </c>
    </row>
    <row s="8355" customFormat="1" customHeight="1" ht="0.75" hidden="1">
      <c r="A124" s="2484"/>
      <c r="D124" s="661"/>
      <c r="E124" s="1126" t="str">
        <f>E123&amp;".0"</f>
        <v>.0</v>
      </c>
      <c r="F124" s="1111"/>
      <c r="G124" s="1764"/>
      <c r="H124" s="1105"/>
      <c r="I124" s="1105"/>
      <c r="J124" s="1109"/>
      <c r="AF124" s="1749">
        <v>0</v>
      </c>
    </row>
    <row customHeight="1" ht="15" hidden="1">
      <c r="A125" s="2484"/>
      <c r="D125" s="1746"/>
      <c r="E125" s="683"/>
      <c r="F125" s="1281" t="s">
        <v>715</v>
      </c>
      <c r="G125" s="685"/>
      <c r="H125" s="686"/>
      <c r="I125" s="686"/>
      <c r="J125" s="1117" t="s">
        <v>728</v>
      </c>
      <c r="K125" s="656"/>
      <c r="AF125" s="1744">
        <v>0</v>
      </c>
    </row>
    <row customHeight="1" ht="22.5" hidden="1">
      <c r="A126" s="2484"/>
      <c r="D126" s="1751"/>
      <c r="E126" s="659" t="str">
        <f>FHD_NUM_P_80</f>
        <v/>
      </c>
      <c r="F126" s="1993" t="str">
        <f>FHD_P_80</f>
        <v/>
      </c>
      <c r="G126" s="1991" t="s">
        <v>729</v>
      </c>
      <c r="H126" s="670"/>
      <c r="I126" s="670"/>
      <c r="J126" s="402" t="str">
        <f>FHD_NOTE_P_80</f>
        <v/>
      </c>
      <c r="K126" s="656"/>
      <c r="AF126" s="1744">
        <v>0</v>
      </c>
    </row>
    <row customHeight="1" ht="18.75" hidden="1">
      <c r="A127" s="2484"/>
      <c r="D127" s="1751"/>
      <c r="E127" s="659" t="str">
        <f>FHD_NUM_P_81</f>
        <v/>
      </c>
      <c r="F127" s="1993" t="str">
        <f>FHD_P_81</f>
        <v/>
      </c>
      <c r="G127" s="1991" t="s">
        <v>730</v>
      </c>
      <c r="H127" s="670"/>
      <c r="I127" s="670"/>
      <c r="J127" s="402" t="str">
        <f>FHD_NOTE_P_81</f>
        <v/>
      </c>
      <c r="K127" s="656"/>
      <c r="AF127" s="1744">
        <v>0</v>
      </c>
    </row>
    <row customHeight="1" ht="18.75" hidden="1">
      <c r="A128" s="2484"/>
      <c r="C128" s="1749" t="s">
        <v>717</v>
      </c>
      <c r="D128" s="1751"/>
      <c r="E128" s="659" t="str">
        <f>FHD_NUM_P_82</f>
        <v/>
      </c>
      <c r="F128" s="1993" t="str">
        <f>FHD_P_82</f>
        <v/>
      </c>
      <c r="G128" s="1991" t="s">
        <v>434</v>
      </c>
      <c r="H128" s="514"/>
      <c r="I128" s="514"/>
      <c r="J128" s="402" t="str">
        <f>FHD_NOTE_P_82</f>
        <v/>
      </c>
      <c r="K128" s="656"/>
      <c r="AF128" s="1744">
        <v>0</v>
      </c>
    </row>
    <row customHeight="1" ht="18.75" hidden="1">
      <c r="A129" s="2484"/>
      <c r="C129" s="1749" t="s">
        <v>717</v>
      </c>
      <c r="D129" s="1751"/>
      <c r="E129" s="659" t="str">
        <f>FHD_NUM_P_83</f>
        <v/>
      </c>
      <c r="F129" s="1637" t="str">
        <f>FHD_P_83</f>
        <v/>
      </c>
      <c r="G129" s="1991" t="s">
        <v>434</v>
      </c>
      <c r="H129" s="514"/>
      <c r="I129" s="514"/>
      <c r="J129" s="402" t="str">
        <f>FHD_NOTE_P_83</f>
        <v/>
      </c>
      <c r="K129" s="656"/>
      <c r="AF129" s="1744">
        <v>0</v>
      </c>
    </row>
    <row customHeight="1" ht="18.75" hidden="1">
      <c r="A130" s="2484"/>
      <c r="C130" s="1749" t="s">
        <v>717</v>
      </c>
      <c r="D130" s="1751"/>
      <c r="E130" s="659" t="str">
        <f>FHD_NUM_P_84</f>
        <v/>
      </c>
      <c r="F130" s="1637" t="str">
        <f>FHD_P_84</f>
        <v/>
      </c>
      <c r="G130" s="1991" t="s">
        <v>434</v>
      </c>
      <c r="H130" s="514"/>
      <c r="I130" s="514"/>
      <c r="J130" s="402" t="str">
        <f>FHD_NOTE_P_84</f>
        <v/>
      </c>
      <c r="K130" s="656"/>
      <c r="AF130" s="1744">
        <v>0</v>
      </c>
    </row>
    <row customHeight="1" ht="11.549999999999999">
      <c r="D131" s="1751"/>
      <c r="AF131" s="1744">
        <v>11</v>
      </c>
    </row>
    <row customHeight="1" ht="13.5">
      <c r="D132" s="1751"/>
      <c r="E132" s="449"/>
      <c r="F132" s="482"/>
      <c r="G132" s="482"/>
      <c r="H132" s="482"/>
      <c r="I132" s="1760"/>
      <c r="J132" s="694"/>
      <c r="AF132" s="1744">
        <v>13</v>
      </c>
    </row>
    <row s="8962"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8962"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8962"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8962"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8962"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8962"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8962"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8962"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8962"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8962"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8962"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8962"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8962"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8962"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8962"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8962"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8962"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8962"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8962"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8962"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8962"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8962"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8962"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8962"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8962"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8962"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8962"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8962"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8962"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8962"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8962"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8962"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8962"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8962"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8962"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8962"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8962"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8962"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8962"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8962"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8962"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8962"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8962"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8962"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8962"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8962"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8962"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8962"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8962"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8962"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8962"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8962"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8962"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8962"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8962"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8962"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8962"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8962"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8962"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8962"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8962"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8962"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8962"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8962"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8962"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8962"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8962"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8962"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8962"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8962"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8962"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8962"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8962"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8962"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8962"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8962"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8962"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8962"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8962"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8962"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8962"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8962"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8962"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8962"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8962"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8962"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8962"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8962"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8962"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8962"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8962"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8962"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8962"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8962"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8962"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8962"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8962"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8962"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8962"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8962"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8962"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8962"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8962"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8962"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8962"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8962"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8962"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8962"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8962"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8962"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8962"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8962"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8962"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8962"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8962"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8962"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8962"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8962"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8962"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8962"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8962"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8962"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8962"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8962"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8962"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8962"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8962"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8962"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8962"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8962"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8962"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8962"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8962"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8962"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8962"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8962"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8962"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8962"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8962"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8962"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8962"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8962"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8962"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8962"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8962"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8962"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8962"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8962"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8962"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8962"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8962"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8962"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8962"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8962"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8962"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8962"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82</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3A7509-D0C4-FC9F-4EE8-AE7A62B6FDCE}"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2517" width="14.7109375" hidden="1" customWidth="1"/>
    <col min="2" max="2" style="8237" width="17.00390625" hidden="1" customWidth="1"/>
    <col min="3" max="3" style="8273" width="3.00390625" customWidth="1"/>
    <col min="4" max="4" style="8273" width="1.8515625" hidden="1" customWidth="1"/>
    <col min="5" max="6" style="8273" width="7.00390625" customWidth="1"/>
    <col min="7" max="7" style="8273" width="29.00390625" customWidth="1"/>
    <col min="8" max="8" style="8273" width="3.7109375" customWidth="1"/>
    <col min="9" max="9" style="8273" width="5.00390625" customWidth="1"/>
    <col min="10" max="11" style="8273" width="24.00390625" customWidth="1"/>
    <col min="12" max="12" style="8273" width="3.00390625" customWidth="1"/>
    <col min="13" max="13" style="8273" width="6.00390625" customWidth="1"/>
    <col min="14" max="14" style="8273" width="25.00390625" customWidth="1"/>
    <col min="15" max="18" style="8273" width="18.00390625" customWidth="1"/>
    <col min="19" max="19" style="8273" width="93.00390625" customWidth="1"/>
    <col min="20" max="20" style="8273" width="10.00390625" customWidth="1"/>
    <col min="21" max="21" style="8355" width="10.00390625" customWidth="1"/>
    <col min="22" max="22" style="8355" width="11.00390625" customWidth="1"/>
    <col min="23" max="27" style="8237" width="10.00390625" customWidth="1"/>
    <col min="28" max="83" style="8273" width="8.00390625" customWidth="1"/>
    <col min="84" max="84" style="8273"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50"/>
      <c r="G5" s="2350"/>
      <c r="H5" s="2350"/>
      <c r="I5" s="2350"/>
      <c r="J5" s="2350"/>
      <c r="K5" s="2350"/>
      <c r="L5" s="726"/>
      <c r="M5" s="726"/>
      <c r="CF5" s="618">
        <v>28</v>
      </c>
    </row>
    <row s="8273" customFormat="1" customHeight="1" ht="16.8">
      <c r="A6" s="723"/>
      <c r="B6" s="872"/>
      <c r="C6" s="622"/>
      <c r="D6" s="1171"/>
      <c r="E6" s="2289" t="str">
        <f>IF(org=0,"Не определено",org)</f>
        <v>МУП ЖКХ "Родник"</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8962"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428</v>
      </c>
      <c r="F9" s="2215"/>
      <c r="G9" s="2215"/>
      <c r="H9" s="2215"/>
      <c r="I9" s="2215"/>
      <c r="J9" s="2215"/>
      <c r="K9" s="2215"/>
      <c r="L9" s="2215"/>
      <c r="M9" s="2215"/>
      <c r="N9" s="2215"/>
      <c r="O9" s="2215"/>
      <c r="P9" s="2215"/>
      <c r="Q9" s="2215"/>
      <c r="R9" s="2216"/>
      <c r="S9" s="2240" t="s">
        <v>429</v>
      </c>
      <c r="T9" s="447"/>
      <c r="CF9" s="618">
        <v>19</v>
      </c>
    </row>
    <row customHeight="1" ht="48.29999999999999">
      <c r="D10" s="664" t="s">
        <v>88</v>
      </c>
      <c r="E10" s="2240" t="s">
        <v>88</v>
      </c>
      <c r="F10" s="2240"/>
      <c r="G10" s="634" t="s">
        <v>430</v>
      </c>
      <c r="H10" s="2240" t="s">
        <v>88</v>
      </c>
      <c r="I10" s="2240"/>
      <c r="J10" s="634" t="s">
        <v>731</v>
      </c>
      <c r="K10" s="634" t="s">
        <v>732</v>
      </c>
      <c r="L10" s="2240" t="s">
        <v>88</v>
      </c>
      <c r="M10" s="2240"/>
      <c r="N10" s="634" t="s">
        <v>733</v>
      </c>
      <c r="O10" s="634" t="s">
        <v>734</v>
      </c>
      <c r="P10" s="634" t="s">
        <v>735</v>
      </c>
      <c r="Q10" s="634" t="s">
        <v>736</v>
      </c>
      <c r="R10" s="634" t="s">
        <v>737</v>
      </c>
      <c r="S10" s="2240"/>
      <c r="T10" s="447"/>
      <c r="CF10" s="618">
        <v>46</v>
      </c>
    </row>
    <row s="8355" customFormat="1" customHeight="1" ht="15" hidden="1">
      <c r="A11" s="1165"/>
      <c r="D11" s="1138" t="s">
        <v>187</v>
      </c>
      <c r="E11" s="1138"/>
      <c r="F11" s="1138" t="s">
        <v>104</v>
      </c>
      <c r="G11" s="1138" t="s">
        <v>90</v>
      </c>
      <c r="H11" s="1138"/>
      <c r="I11" s="1138" t="s">
        <v>91</v>
      </c>
      <c r="J11" s="1138" t="s">
        <v>118</v>
      </c>
      <c r="K11" s="1138" t="s">
        <v>92</v>
      </c>
      <c r="L11" s="1138"/>
      <c r="M11" s="1138" t="s">
        <v>93</v>
      </c>
      <c r="N11" s="1138" t="s">
        <v>131</v>
      </c>
      <c r="O11" s="1138" t="s">
        <v>136</v>
      </c>
      <c r="P11" s="1138" t="s">
        <v>141</v>
      </c>
      <c r="Q11" s="1138" t="s">
        <v>146</v>
      </c>
      <c r="R11" s="1138" t="s">
        <v>151</v>
      </c>
      <c r="S11" s="1138" t="s">
        <v>156</v>
      </c>
      <c r="U11" s="724"/>
      <c r="V11" s="724"/>
      <c r="W11" s="724"/>
      <c r="CF11" s="624">
        <v>0</v>
      </c>
    </row>
    <row s="8273" customFormat="1" customHeight="1" ht="1.05">
      <c r="A12" s="728"/>
      <c r="B12" s="475"/>
      <c r="D12" s="661"/>
      <c r="E12" s="459"/>
      <c r="F12" s="459"/>
      <c r="Q12" s="729"/>
      <c r="R12" s="730"/>
      <c r="T12" s="731"/>
      <c r="U12" s="732"/>
      <c r="V12" s="732"/>
      <c r="W12" s="733"/>
      <c r="X12" s="475"/>
      <c r="Y12" s="475"/>
      <c r="Z12" s="475"/>
      <c r="AA12" s="475"/>
      <c r="CF12" s="622">
        <v>1</v>
      </c>
    </row>
    <row s="8962" customFormat="1" customHeight="1" ht="1.05">
      <c r="A13" s="734"/>
      <c r="B13" s="679"/>
      <c r="D13" s="661" t="s">
        <v>504</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8415" customFormat="1" customHeight="1" ht="15" hidden="1">
      <c r="A14" s="736" t="s">
        <v>192</v>
      </c>
      <c r="B14" s="737"/>
      <c r="C14" s="737"/>
      <c r="D14" s="2493" t="s">
        <v>187</v>
      </c>
      <c r="E14" s="2490" t="s">
        <v>183</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738</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8415" customFormat="1" customHeight="1" ht="15" hidden="1">
      <c r="A15" s="736"/>
      <c r="B15" s="737"/>
      <c r="C15" s="737"/>
      <c r="D15" s="2494"/>
      <c r="E15" s="2490" t="s">
        <v>693</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8415" customFormat="1" customHeight="1" ht="15" hidden="1">
      <c r="A16" s="736"/>
      <c r="B16" s="737"/>
      <c r="C16" s="737"/>
      <c r="D16" s="2494"/>
      <c r="E16" s="2490" t="s">
        <v>694</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8415" customFormat="1" customHeight="1" ht="22.5" hidden="1">
      <c r="A17" s="746"/>
      <c r="B17" s="530"/>
      <c r="C17" s="525"/>
      <c r="D17" s="2494"/>
      <c r="E17" s="2489" t="s">
        <v>739</v>
      </c>
      <c r="F17" s="2489"/>
      <c r="G17" s="2489"/>
      <c r="H17" s="2489"/>
      <c r="I17" s="2489"/>
      <c r="J17" s="2489"/>
      <c r="K17" s="2489"/>
      <c r="L17" s="2489"/>
      <c r="M17" s="2489"/>
      <c r="N17" s="2489"/>
      <c r="O17" s="2489"/>
      <c r="P17" s="2489"/>
      <c r="Q17" s="671">
        <f>SUMIF(T18:T19,"i",Q18:Q19)</f>
        <v>0</v>
      </c>
      <c r="R17" s="1130"/>
      <c r="S17" s="1010" t="s">
        <v>740</v>
      </c>
      <c r="T17" s="830" t="s">
        <v>741</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8415"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8415"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8415" customFormat="1" customHeight="1" ht="22.5" hidden="1">
      <c r="A20" s="746"/>
      <c r="B20" s="530"/>
      <c r="C20" s="525"/>
      <c r="D20" s="2494"/>
      <c r="E20" s="2489" t="s">
        <v>742</v>
      </c>
      <c r="F20" s="2489"/>
      <c r="G20" s="2489"/>
      <c r="H20" s="2489"/>
      <c r="I20" s="2489"/>
      <c r="J20" s="2489"/>
      <c r="K20" s="2489"/>
      <c r="L20" s="2489"/>
      <c r="M20" s="2489"/>
      <c r="N20" s="2489"/>
      <c r="O20" s="2489"/>
      <c r="P20" s="2489"/>
      <c r="Q20" s="671">
        <f>SUMIF(T21:T22,"i",Q21:Q22)</f>
        <v>0</v>
      </c>
      <c r="R20" s="1130"/>
      <c r="S20" s="822" t="s">
        <v>743</v>
      </c>
      <c r="T20" s="830" t="s">
        <v>741</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8415"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8415"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82</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EA8217-2BFD-ABA6-905A-9503F16FD529}"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2449" width="10.7109375" hidden="1" customWidth="1"/>
    <col min="6" max="6" style="8354" width="16.8515625" hidden="1" customWidth="1"/>
    <col min="7" max="7" style="8355" width="5.57421875" hidden="1" customWidth="1"/>
    <col min="8" max="8" style="8273" width="3.00390625" customWidth="1"/>
    <col min="9" max="9" style="8273" width="7.00390625" customWidth="1"/>
    <col min="10" max="10" style="8273" width="56.00390625" customWidth="1"/>
    <col min="11" max="11" style="8273" width="10.00390625" customWidth="1"/>
    <col min="12" max="12" style="8273" width="40.57421875" hidden="1" customWidth="1"/>
    <col min="13" max="13" style="8273" width="40.7109375" customWidth="1"/>
    <col min="14" max="14" style="8354" width="9.7109375" hidden="1" customWidth="1"/>
    <col min="15" max="15" style="8273" width="102.00390625" customWidth="1"/>
    <col min="16" max="16" style="8354" width="9.00390625" customWidth="1"/>
    <col min="17" max="17" style="8355" width="5.00390625" customWidth="1"/>
    <col min="18" max="18" style="8355" width="3.00390625" customWidth="1"/>
    <col min="19" max="22" style="8354" width="3.00390625" customWidth="1"/>
    <col min="23" max="23" style="8355" width="10.00390625" customWidth="1"/>
    <col min="24" max="24" style="8354" width="34.00390625" customWidth="1"/>
    <col min="25" max="25" style="8354" width="9.00390625" customWidth="1"/>
    <col min="26" max="26" style="12450" width="8.00390625" customWidth="1"/>
    <col min="27" max="31" style="8354" width="8.00390625" customWidth="1"/>
    <col min="32" max="36" style="8237" width="8.00390625" customWidth="1"/>
    <col min="37" max="37" style="8273" width="5.421875" hidden="1" customWidth="1"/>
  </cols>
  <sheetData>
    <row s="8354" customFormat="1" customHeight="1" ht="33.75" hidden="1">
      <c r="A1" s="1100"/>
      <c r="B1" s="1100"/>
      <c r="C1" s="1100"/>
      <c r="D1" s="1100"/>
      <c r="E1" s="1100"/>
      <c r="G1" s="1749"/>
      <c r="H1" s="991"/>
      <c r="L1" s="1479">
        <v>4</v>
      </c>
      <c r="M1" s="1479">
        <v>4</v>
      </c>
      <c r="Q1" s="1749"/>
      <c r="R1" s="1749"/>
      <c r="W1" s="1749"/>
      <c r="AK1" s="1479" t="s">
        <v>14</v>
      </c>
    </row>
    <row s="8354" customFormat="1" customHeight="1" ht="78.75" hidden="1">
      <c r="A2" s="1100"/>
      <c r="B2" s="2166" t="s">
        <v>744</v>
      </c>
      <c r="C2" s="2166" t="s">
        <v>745</v>
      </c>
      <c r="D2" s="2165" t="s">
        <v>746</v>
      </c>
      <c r="E2" s="2169">
        <f>RIGHT(I2,LEN(I2)-SEARCH("#",SUBSTITUTE(I2,".","#",LEN(I2)-LEN(SUBSTITUTE(I2,".","")))))</f>
      </c>
      <c r="F2" s="2171">
        <f>J2</f>
        <v>0</v>
      </c>
      <c r="G2" s="1749"/>
      <c r="H2" s="2172"/>
      <c r="I2" s="2162"/>
      <c r="J2" s="653"/>
      <c r="K2" s="2132" t="s">
        <v>685</v>
      </c>
      <c r="L2" s="864"/>
      <c r="M2" s="864"/>
      <c r="N2" s="656"/>
      <c r="O2" s="1638" t="s">
        <v>686</v>
      </c>
      <c r="P2" s="656"/>
      <c r="Q2" s="1749"/>
      <c r="R2" s="1749"/>
      <c r="W2" s="1749"/>
      <c r="Z2" s="657"/>
      <c r="AF2" s="1745"/>
      <c r="AG2" s="1745"/>
      <c r="AH2" s="1745"/>
      <c r="AI2" s="1745"/>
      <c r="AJ2" s="1745"/>
      <c r="AK2" s="1479">
        <v>0</v>
      </c>
    </row>
    <row customHeight="1" ht="11.25" hidden="1">
      <c r="E3" s="2164" t="s">
        <v>747</v>
      </c>
      <c r="L3" s="1744">
        <f>0</f>
        <v>0</v>
      </c>
      <c r="M3" s="1744">
        <v>1</v>
      </c>
      <c r="AK3" s="1744">
        <v>0</v>
      </c>
    </row>
    <row s="8237"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748</v>
      </c>
      <c r="J6" s="2420"/>
      <c r="K6" s="2420"/>
      <c r="L6" s="2420"/>
      <c r="M6" s="2420"/>
      <c r="O6" s="669"/>
      <c r="AK6" s="1744">
        <v>55</v>
      </c>
    </row>
    <row customHeight="1" ht="25.2">
      <c r="I7" s="2362" t="str">
        <f>IF(org=0,"Не определено",org)</f>
        <v>МУП ЖКХ "Родник"</v>
      </c>
      <c r="J7" s="2362"/>
      <c r="K7" s="2362"/>
      <c r="L7" s="2362"/>
      <c r="M7" s="2362"/>
      <c r="AK7" s="1744">
        <v>24</v>
      </c>
    </row>
    <row customHeight="1" ht="11.549999999999999">
      <c r="I8" s="1248"/>
      <c r="J8" s="1248"/>
      <c r="K8" s="1248"/>
      <c r="L8" s="1248"/>
      <c r="M8" s="1248"/>
      <c r="AK8" s="1744">
        <v>11</v>
      </c>
    </row>
    <row s="8355" customFormat="1" customHeight="1" ht="30" hidden="1">
      <c r="A9" s="1280"/>
      <c r="B9" s="1280"/>
      <c r="C9" s="1280"/>
      <c r="E9" s="1280"/>
      <c r="H9" s="1755"/>
      <c r="L9" s="1002"/>
      <c r="M9" s="1002" t="s">
        <v>192</v>
      </c>
      <c r="AK9" s="1749">
        <v>1</v>
      </c>
    </row>
    <row customHeight="1" ht="11.549999999999999">
      <c r="E10" s="2163" t="s">
        <v>749</v>
      </c>
      <c r="I10" s="824"/>
      <c r="J10" s="2480" t="s">
        <v>183</v>
      </c>
      <c r="K10" s="2481"/>
      <c r="L10" s="2142" t="str">
        <f>IF(L9="","",INDEX(DIFFERENTIATION_UNMERGE_VD,MATCH(L9,DIFFERENTIATION_ID_DIFF,0)))</f>
        <v/>
      </c>
      <c r="M10" s="2142">
        <f>IF(M9="","",INDEX(DIFFERENTIATION_UNMERGE_VD,MATCH(M9,DIFFERENTIATION_ID_DIFF,0)))</f>
        <v>0</v>
      </c>
      <c r="O10" s="2240" t="s">
        <v>429</v>
      </c>
      <c r="AK10" s="1744">
        <v>11</v>
      </c>
    </row>
    <row customHeight="1" ht="11.549999999999999">
      <c r="E11" s="2163" t="s">
        <v>750</v>
      </c>
      <c r="I11" s="824"/>
      <c r="J11" s="2480" t="s">
        <v>693</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751</v>
      </c>
      <c r="I12" s="1775"/>
      <c r="J12" s="2480" t="s">
        <v>694</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752</v>
      </c>
      <c r="F13" s="2163" t="s">
        <v>753</v>
      </c>
      <c r="I13" s="2482" t="s">
        <v>428</v>
      </c>
      <c r="J13" s="2483"/>
      <c r="K13" s="2483"/>
      <c r="L13" s="2140"/>
      <c r="M13" s="2180"/>
      <c r="O13" s="2240"/>
      <c r="AK13" s="1744">
        <v>11</v>
      </c>
    </row>
    <row customHeight="1" ht="24">
      <c r="I14" s="2133" t="s">
        <v>88</v>
      </c>
      <c r="J14" s="2133" t="s">
        <v>430</v>
      </c>
      <c r="K14" s="2133" t="s">
        <v>695</v>
      </c>
      <c r="L14" s="2173" t="s">
        <v>431</v>
      </c>
      <c r="M14" s="2174" t="s">
        <v>431</v>
      </c>
      <c r="O14" s="2240"/>
      <c r="AK14" s="1744">
        <v>23</v>
      </c>
    </row>
    <row customHeight="1" ht="24">
      <c r="A15" s="2167"/>
      <c r="B15" s="2166" t="s">
        <v>754</v>
      </c>
      <c r="C15" s="2166" t="s">
        <v>755</v>
      </c>
      <c r="D15" s="2165" t="s">
        <v>756</v>
      </c>
      <c r="E15" s="2169" t="s">
        <v>757</v>
      </c>
      <c r="F15" s="2169" t="s">
        <v>757</v>
      </c>
      <c r="G15" s="1749" t="s">
        <v>717</v>
      </c>
      <c r="H15" s="2134"/>
      <c r="I15" s="1743">
        <v>1</v>
      </c>
      <c r="J15" s="2135" t="s">
        <v>758</v>
      </c>
      <c r="K15" s="2133" t="s">
        <v>434</v>
      </c>
      <c r="L15" s="775"/>
      <c r="M15" s="931"/>
      <c r="N15" s="656" t="s">
        <v>759</v>
      </c>
      <c r="O15" s="1638" t="s">
        <v>760</v>
      </c>
      <c r="P15" s="656" t="s">
        <v>759</v>
      </c>
      <c r="AK15" s="1744">
        <v>23</v>
      </c>
    </row>
    <row customHeight="1" ht="35.699999999999996">
      <c r="A16" s="2167"/>
      <c r="B16" s="2166" t="s">
        <v>761</v>
      </c>
      <c r="C16" s="2166" t="s">
        <v>762</v>
      </c>
      <c r="D16" s="2165" t="s">
        <v>746</v>
      </c>
      <c r="E16" s="2169" t="s">
        <v>757</v>
      </c>
      <c r="F16" s="2169" t="s">
        <v>757</v>
      </c>
      <c r="H16" s="2134"/>
      <c r="I16" s="1742">
        <v>2</v>
      </c>
      <c r="J16" s="2176" t="s">
        <v>763</v>
      </c>
      <c r="K16" s="2175" t="s">
        <v>685</v>
      </c>
      <c r="L16" s="2181"/>
      <c r="M16" s="1789"/>
      <c r="N16" s="656" t="s">
        <v>759</v>
      </c>
      <c r="O16" s="1638" t="s">
        <v>764</v>
      </c>
      <c r="P16" s="656" t="s">
        <v>759</v>
      </c>
      <c r="AK16" s="1744">
        <v>34</v>
      </c>
    </row>
    <row s="8355" customFormat="1" customHeight="1" ht="17.25" hidden="1">
      <c r="A17" s="1280"/>
      <c r="B17" s="1280"/>
      <c r="C17" s="1280"/>
      <c r="D17" s="1280"/>
      <c r="E17" s="1280"/>
      <c r="H17" s="1437"/>
      <c r="I17" s="1126" t="s">
        <v>765</v>
      </c>
      <c r="J17" s="1104"/>
      <c r="K17" s="1126"/>
      <c r="L17" s="1105"/>
      <c r="M17" s="1105"/>
      <c r="O17" s="1498"/>
      <c r="AK17" s="1749">
        <v>1</v>
      </c>
    </row>
    <row s="8354" customFormat="1" customHeight="1" ht="24">
      <c r="A18" s="1100"/>
      <c r="B18" s="1100"/>
      <c r="C18" s="1100"/>
      <c r="D18" s="1100"/>
      <c r="E18" s="1100"/>
      <c r="G18" s="1749"/>
      <c r="H18" s="1746"/>
      <c r="I18" s="683"/>
      <c r="J18" s="684" t="s">
        <v>715</v>
      </c>
      <c r="K18" s="685"/>
      <c r="L18" s="2183"/>
      <c r="M18" s="686"/>
      <c r="N18" s="656"/>
      <c r="O18" s="1638" t="s">
        <v>716</v>
      </c>
      <c r="P18" s="656"/>
      <c r="Q18" s="1749"/>
      <c r="R18" s="1749"/>
      <c r="W18" s="1749"/>
      <c r="Z18" s="657"/>
      <c r="AF18" s="1745"/>
      <c r="AG18" s="1745"/>
      <c r="AH18" s="1745"/>
      <c r="AI18" s="1745"/>
      <c r="AJ18" s="1745"/>
      <c r="AK18" s="1479">
        <v>23</v>
      </c>
    </row>
    <row customHeight="1" ht="19.95">
      <c r="A19" s="2167"/>
      <c r="B19" s="2166" t="s">
        <v>766</v>
      </c>
      <c r="C19" s="2166" t="s">
        <v>767</v>
      </c>
      <c r="D19" s="2165" t="s">
        <v>746</v>
      </c>
      <c r="E19" s="2169" t="s">
        <v>757</v>
      </c>
      <c r="F19" s="2169" t="s">
        <v>757</v>
      </c>
      <c r="H19" s="2134"/>
      <c r="I19" s="1777">
        <v>3</v>
      </c>
      <c r="J19" s="2135" t="s">
        <v>767</v>
      </c>
      <c r="K19" s="2131" t="s">
        <v>685</v>
      </c>
      <c r="L19" s="840"/>
      <c r="M19" s="670"/>
      <c r="N19" s="656"/>
      <c r="O19" s="1638" t="s">
        <v>768</v>
      </c>
      <c r="P19" s="656"/>
      <c r="AK19" s="1744">
        <v>19</v>
      </c>
    </row>
    <row customHeight="1" ht="77.7">
      <c r="A20" s="2167"/>
      <c r="B20" s="2166" t="s">
        <v>769</v>
      </c>
      <c r="C20" s="2166" t="s">
        <v>770</v>
      </c>
      <c r="D20" s="2165" t="s">
        <v>746</v>
      </c>
      <c r="E20" s="2169" t="s">
        <v>757</v>
      </c>
      <c r="F20" s="2169" t="s">
        <v>757</v>
      </c>
      <c r="H20" s="2134"/>
      <c r="I20" s="1777">
        <v>4</v>
      </c>
      <c r="J20" s="2135" t="s">
        <v>771</v>
      </c>
      <c r="K20" s="2131" t="s">
        <v>712</v>
      </c>
      <c r="L20" s="840"/>
      <c r="M20" s="670"/>
      <c r="N20" s="656"/>
      <c r="O20" s="1638"/>
      <c r="P20" s="656"/>
      <c r="AK20" s="1744">
        <v>74</v>
      </c>
    </row>
    <row customHeight="1" ht="35.699999999999996">
      <c r="A21" s="2167"/>
      <c r="B21" s="2166" t="s">
        <v>772</v>
      </c>
      <c r="C21" s="2166" t="s">
        <v>773</v>
      </c>
      <c r="D21" s="2165" t="s">
        <v>746</v>
      </c>
      <c r="E21" s="2169" t="s">
        <v>757</v>
      </c>
      <c r="F21" s="2169" t="s">
        <v>757</v>
      </c>
      <c r="H21" s="2134"/>
      <c r="I21" s="1777">
        <v>5</v>
      </c>
      <c r="J21" s="2135" t="s">
        <v>774</v>
      </c>
      <c r="K21" s="2131" t="s">
        <v>712</v>
      </c>
      <c r="L21" s="840"/>
      <c r="M21" s="670"/>
      <c r="N21" s="656"/>
      <c r="O21" s="1638" t="s">
        <v>768</v>
      </c>
      <c r="P21" s="656"/>
      <c r="AK21" s="1744">
        <v>34</v>
      </c>
    </row>
    <row customHeight="1" ht="48.29999999999999">
      <c r="A22" s="2167"/>
      <c r="B22" s="2166" t="s">
        <v>775</v>
      </c>
      <c r="C22" s="2166" t="s">
        <v>776</v>
      </c>
      <c r="D22" s="2165" t="s">
        <v>746</v>
      </c>
      <c r="E22" s="2169" t="s">
        <v>757</v>
      </c>
      <c r="F22" s="2169" t="s">
        <v>757</v>
      </c>
      <c r="H22" s="2134"/>
      <c r="I22" s="1777">
        <v>6</v>
      </c>
      <c r="J22" s="2135" t="s">
        <v>777</v>
      </c>
      <c r="K22" s="2131" t="s">
        <v>712</v>
      </c>
      <c r="L22" s="840"/>
      <c r="M22" s="670"/>
      <c r="N22" s="656"/>
      <c r="O22" s="1638" t="s">
        <v>778</v>
      </c>
      <c r="P22" s="656"/>
      <c r="AK22" s="1744">
        <v>46</v>
      </c>
    </row>
    <row customHeight="1" ht="19.95">
      <c r="A23" s="2167"/>
      <c r="B23" s="2166" t="s">
        <v>779</v>
      </c>
      <c r="C23" s="2166" t="s">
        <v>780</v>
      </c>
      <c r="D23" s="2165" t="s">
        <v>746</v>
      </c>
      <c r="E23" s="2169" t="s">
        <v>757</v>
      </c>
      <c r="F23" s="2169" t="s">
        <v>757</v>
      </c>
      <c r="H23" s="2134"/>
      <c r="I23" s="1777" t="s">
        <v>781</v>
      </c>
      <c r="J23" s="1637" t="s">
        <v>782</v>
      </c>
      <c r="K23" s="2131" t="s">
        <v>712</v>
      </c>
      <c r="L23" s="840"/>
      <c r="M23" s="670"/>
      <c r="N23" s="656"/>
      <c r="O23" s="1638" t="s">
        <v>768</v>
      </c>
      <c r="P23" s="656"/>
      <c r="AK23" s="1744">
        <v>19</v>
      </c>
    </row>
    <row customHeight="1" ht="19.95">
      <c r="A24" s="2167"/>
      <c r="B24" s="2166" t="s">
        <v>783</v>
      </c>
      <c r="C24" s="2166" t="s">
        <v>784</v>
      </c>
      <c r="D24" s="2165" t="s">
        <v>746</v>
      </c>
      <c r="E24" s="2169" t="s">
        <v>757</v>
      </c>
      <c r="F24" s="2169" t="s">
        <v>757</v>
      </c>
      <c r="H24" s="2134"/>
      <c r="I24" s="1777" t="s">
        <v>785</v>
      </c>
      <c r="J24" s="1637" t="s">
        <v>786</v>
      </c>
      <c r="K24" s="2131" t="s">
        <v>712</v>
      </c>
      <c r="L24" s="840"/>
      <c r="M24" s="670"/>
      <c r="N24" s="656"/>
      <c r="O24" s="1638"/>
      <c r="P24" s="656"/>
      <c r="AK24" s="1744">
        <v>19</v>
      </c>
    </row>
    <row customHeight="1" ht="24">
      <c r="A25" s="2167"/>
      <c r="B25" s="2166" t="s">
        <v>787</v>
      </c>
      <c r="C25" s="2166" t="s">
        <v>788</v>
      </c>
      <c r="D25" s="2165" t="s">
        <v>746</v>
      </c>
      <c r="E25" s="2169" t="s">
        <v>757</v>
      </c>
      <c r="F25" s="2169" t="s">
        <v>757</v>
      </c>
      <c r="H25" s="2134"/>
      <c r="I25" s="1777" t="s">
        <v>789</v>
      </c>
      <c r="J25" s="1637" t="s">
        <v>790</v>
      </c>
      <c r="K25" s="2131" t="s">
        <v>712</v>
      </c>
      <c r="L25" s="840"/>
      <c r="M25" s="670"/>
      <c r="N25" s="656"/>
      <c r="O25" s="1638"/>
      <c r="P25" s="656"/>
      <c r="AK25" s="1744">
        <v>23</v>
      </c>
    </row>
    <row customHeight="1" ht="24">
      <c r="A26" s="2167"/>
      <c r="B26" s="2166" t="s">
        <v>791</v>
      </c>
      <c r="C26" s="2166" t="s">
        <v>792</v>
      </c>
      <c r="D26" s="2165" t="s">
        <v>746</v>
      </c>
      <c r="E26" s="2169" t="s">
        <v>757</v>
      </c>
      <c r="F26" s="2169" t="s">
        <v>757</v>
      </c>
      <c r="H26" s="2134"/>
      <c r="I26" s="1777">
        <v>7</v>
      </c>
      <c r="J26" s="2135" t="s">
        <v>792</v>
      </c>
      <c r="K26" s="2131" t="s">
        <v>793</v>
      </c>
      <c r="L26" s="840"/>
      <c r="M26" s="670"/>
      <c r="N26" s="656"/>
      <c r="O26" s="1638"/>
      <c r="P26" s="656"/>
      <c r="AK26" s="1744">
        <v>23</v>
      </c>
    </row>
    <row customHeight="1" ht="24">
      <c r="A27" s="2167"/>
      <c r="B27" s="2166" t="s">
        <v>794</v>
      </c>
      <c r="C27" s="2166" t="s">
        <v>795</v>
      </c>
      <c r="D27" s="2165" t="s">
        <v>746</v>
      </c>
      <c r="E27" s="2169" t="s">
        <v>757</v>
      </c>
      <c r="F27" s="2169" t="s">
        <v>757</v>
      </c>
      <c r="H27" s="2134"/>
      <c r="I27" s="1777">
        <v>8</v>
      </c>
      <c r="J27" s="2135" t="s">
        <v>795</v>
      </c>
      <c r="K27" s="2131" t="s">
        <v>718</v>
      </c>
      <c r="L27" s="840"/>
      <c r="M27" s="670"/>
      <c r="N27" s="656"/>
      <c r="O27" s="1638"/>
      <c r="P27" s="656"/>
      <c r="AK27" s="1744">
        <v>23</v>
      </c>
    </row>
    <row customHeight="1" ht="35.699999999999996">
      <c r="A28" s="2167"/>
      <c r="B28" s="2166" t="s">
        <v>796</v>
      </c>
      <c r="C28" s="2166" t="s">
        <v>797</v>
      </c>
      <c r="D28" s="2165" t="s">
        <v>746</v>
      </c>
      <c r="E28" s="2169" t="s">
        <v>757</v>
      </c>
      <c r="F28" s="2169" t="s">
        <v>757</v>
      </c>
      <c r="H28" s="2134"/>
      <c r="I28" s="1788">
        <v>9</v>
      </c>
      <c r="J28" s="2135" t="s">
        <v>798</v>
      </c>
      <c r="K28" s="2131" t="s">
        <v>689</v>
      </c>
      <c r="L28" s="840"/>
      <c r="M28" s="670"/>
      <c r="N28" s="656"/>
      <c r="O28" s="1638"/>
      <c r="P28" s="656"/>
      <c r="AK28" s="1744">
        <v>34</v>
      </c>
    </row>
    <row customHeight="1" ht="35.699999999999996">
      <c r="A29" s="2167"/>
      <c r="B29" s="2166" t="s">
        <v>799</v>
      </c>
      <c r="C29" s="2166" t="s">
        <v>800</v>
      </c>
      <c r="D29" s="2165" t="s">
        <v>746</v>
      </c>
      <c r="E29" s="2169" t="s">
        <v>757</v>
      </c>
      <c r="F29" s="2169" t="s">
        <v>757</v>
      </c>
      <c r="H29" s="2134"/>
      <c r="I29" s="1788">
        <v>10</v>
      </c>
      <c r="J29" s="2135" t="s">
        <v>801</v>
      </c>
      <c r="K29" s="2131" t="s">
        <v>689</v>
      </c>
      <c r="L29" s="840"/>
      <c r="M29" s="670"/>
      <c r="N29" s="656"/>
      <c r="O29" s="1638"/>
      <c r="P29" s="656"/>
      <c r="AK29" s="1744">
        <v>34</v>
      </c>
    </row>
    <row customHeight="1" ht="24">
      <c r="A30" s="2167"/>
      <c r="B30" s="2166" t="s">
        <v>802</v>
      </c>
      <c r="C30" s="2166" t="s">
        <v>803</v>
      </c>
      <c r="D30" s="2165" t="s">
        <v>746</v>
      </c>
      <c r="E30" s="2169" t="s">
        <v>757</v>
      </c>
      <c r="F30" s="2169" t="s">
        <v>757</v>
      </c>
      <c r="H30" s="2134"/>
      <c r="I30" s="1788">
        <v>11</v>
      </c>
      <c r="J30" s="2135" t="s">
        <v>803</v>
      </c>
      <c r="K30" s="2131" t="s">
        <v>719</v>
      </c>
      <c r="L30" s="2182"/>
      <c r="M30" s="1734"/>
      <c r="N30" s="656"/>
      <c r="O30" s="1638"/>
      <c r="P30" s="656"/>
      <c r="AK30" s="1744">
        <v>23</v>
      </c>
    </row>
    <row customHeight="1" ht="24">
      <c r="A31" s="2167"/>
      <c r="B31" s="2166" t="s">
        <v>804</v>
      </c>
      <c r="C31" s="2166" t="s">
        <v>805</v>
      </c>
      <c r="D31" s="2165" t="s">
        <v>746</v>
      </c>
      <c r="E31" s="2169" t="s">
        <v>757</v>
      </c>
      <c r="F31" s="2169" t="s">
        <v>757</v>
      </c>
      <c r="H31" s="2134"/>
      <c r="I31" s="1788">
        <v>12</v>
      </c>
      <c r="J31" s="2135" t="s">
        <v>805</v>
      </c>
      <c r="K31" s="2131" t="s">
        <v>719</v>
      </c>
      <c r="L31" s="2182"/>
      <c r="M31" s="1734"/>
      <c r="N31" s="656"/>
      <c r="O31" s="1638"/>
      <c r="P31" s="656"/>
      <c r="AK31" s="1744">
        <v>23</v>
      </c>
    </row>
    <row customHeight="1" ht="48.29999999999999">
      <c r="A32" s="2167"/>
      <c r="B32" s="2166" t="s">
        <v>806</v>
      </c>
      <c r="C32" s="2166" t="s">
        <v>807</v>
      </c>
      <c r="D32" s="2165" t="s">
        <v>746</v>
      </c>
      <c r="E32" s="2169" t="s">
        <v>757</v>
      </c>
      <c r="F32" s="2169" t="s">
        <v>757</v>
      </c>
      <c r="H32" s="2134"/>
      <c r="I32" s="1788">
        <v>13</v>
      </c>
      <c r="J32" s="2135" t="s">
        <v>808</v>
      </c>
      <c r="K32" s="2131" t="s">
        <v>729</v>
      </c>
      <c r="L32" s="840"/>
      <c r="M32" s="670"/>
      <c r="N32" s="656"/>
      <c r="O32" s="1638" t="s">
        <v>768</v>
      </c>
      <c r="P32" s="656"/>
      <c r="AK32" s="1744">
        <v>46</v>
      </c>
    </row>
    <row s="8354" customFormat="1" customHeight="1" ht="48.29999999999999">
      <c r="A33" s="2167"/>
      <c r="B33" s="2166" t="s">
        <v>809</v>
      </c>
      <c r="C33" s="2166" t="s">
        <v>810</v>
      </c>
      <c r="D33" s="2165" t="s">
        <v>746</v>
      </c>
      <c r="E33" s="2169" t="s">
        <v>757</v>
      </c>
      <c r="F33" s="2169" t="s">
        <v>757</v>
      </c>
      <c r="G33" s="1749"/>
      <c r="H33" s="2134"/>
      <c r="I33" s="1788">
        <v>14</v>
      </c>
      <c r="J33" s="2147" t="s">
        <v>811</v>
      </c>
      <c r="K33" s="2136" t="s">
        <v>812</v>
      </c>
      <c r="L33" s="840"/>
      <c r="M33" s="670"/>
      <c r="N33" s="656"/>
      <c r="O33" s="1638" t="s">
        <v>768</v>
      </c>
      <c r="P33" s="656"/>
      <c r="Q33" s="1749"/>
      <c r="R33" s="1749"/>
      <c r="W33" s="1749"/>
      <c r="Z33" s="657"/>
      <c r="AF33" s="1745"/>
      <c r="AG33" s="1745"/>
      <c r="AH33" s="1745"/>
      <c r="AI33" s="1745"/>
      <c r="AJ33" s="1745"/>
      <c r="AK33" s="1479">
        <v>46</v>
      </c>
    </row>
    <row customHeight="1" ht="108">
      <c r="A34" s="2167"/>
      <c r="B34" s="2166" t="s">
        <v>813</v>
      </c>
      <c r="C34" s="2166" t="s">
        <v>814</v>
      </c>
      <c r="D34" s="2165" t="s">
        <v>756</v>
      </c>
      <c r="E34" s="2169" t="s">
        <v>757</v>
      </c>
      <c r="F34" s="2169" t="s">
        <v>757</v>
      </c>
      <c r="G34" s="1749" t="s">
        <v>717</v>
      </c>
      <c r="H34" s="2134"/>
      <c r="I34" s="2145">
        <v>15</v>
      </c>
      <c r="J34" s="2146" t="s">
        <v>815</v>
      </c>
      <c r="K34" s="2131" t="s">
        <v>434</v>
      </c>
      <c r="L34" s="498"/>
      <c r="M34" s="1277"/>
      <c r="N34" s="656"/>
      <c r="O34" s="1638" t="s">
        <v>760</v>
      </c>
      <c r="P34" s="656"/>
      <c r="AK34" s="1744">
        <v>103</v>
      </c>
    </row>
    <row s="8962"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8962"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8962"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8962"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8962"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8962"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8962"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8962"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8962"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8962"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8962"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8962"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8962"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8962"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8962"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8962"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8962"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8962"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8962"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8962"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8962"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8962"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8962"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8962"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8962"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8962"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8962"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8962"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8962"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8962"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8962"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8962"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8962"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8962"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8962"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8962"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8962"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8962"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8962"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8962"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8962"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8962"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8962"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8962"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8962"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8962"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8962"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8962"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8962"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8962"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8962"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8962"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8962"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8962"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8962"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8962"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8962"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8962"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8962"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8962"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8962"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8962"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8962"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8962"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8962"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8962"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8962"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8962"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8962"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8962"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8962"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8962"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8962"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8962"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8962"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8962"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8962"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8962"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8962"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8962"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8962"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8962"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8962"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8962"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8962"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8962"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8962"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8962"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8962"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8962"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8962"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8962"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8962"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8962"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8962"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8962"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8962"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8962"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8962"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8962"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8962"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8962"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8962"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8962"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8962"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8962"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8962"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8962"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8962"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8962"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8962"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8962"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8962"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8962"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8962"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8962"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8962"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8962"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8962"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8962"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8962"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8962"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8962"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8962"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8962"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8962"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8962"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8962"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8962"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8962"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8962"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8962"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8962"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8962"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8962"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8962"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8962"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8962"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8962"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8962"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8962"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8962"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8962"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8962"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8962"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8962"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8962"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8962"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8962"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8962"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8962"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8962"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8962"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8962"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8962"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82</v>
      </c>
      <c r="B204" s="1100" t="s">
        <v>141</v>
      </c>
      <c r="C204" s="1100" t="s">
        <v>141</v>
      </c>
      <c r="D204" s="1100" t="s">
        <v>141</v>
      </c>
      <c r="E204" s="1100" t="s">
        <v>141</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992A66-4919-4938-2C1D-0A9AD0F6DAAE}"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8273" width="10.57421875" hidden="1"/>
    <col min="5" max="5" style="9206" width="9.140625" hidden="1" customWidth="1"/>
    <col min="6" max="7" style="8354" width="9.140625" hidden="1" customWidth="1"/>
    <col min="8" max="8" style="9207" width="3.00390625" customWidth="1"/>
    <col min="9" max="9" style="8273" width="6.00390625" customWidth="1"/>
    <col min="10" max="10" style="8273" width="63.00390625" customWidth="1"/>
    <col min="11" max="11" style="8273" width="9.00390625" customWidth="1"/>
    <col min="12" max="12" style="8273" width="39.00390625" customWidth="1"/>
    <col min="13" max="13" style="8273" width="89.00390625" customWidth="1"/>
    <col min="14" max="14" style="8273" width="10.00390625" customWidth="1"/>
    <col min="15" max="16" style="8454" width="10.00390625" customWidth="1"/>
    <col min="17" max="22" style="8273" width="10.00390625" customWidth="1"/>
    <col min="23" max="23" style="8273" width="10.57421875" hidden="1"/>
  </cols>
  <sheetData>
    <row customHeight="1" ht="22.5" hidden="1">
      <c r="S1" s="368"/>
      <c r="T1" s="368"/>
      <c r="V1" s="368"/>
      <c r="W1" s="1744" t="s">
        <v>14</v>
      </c>
    </row>
    <row customHeight="1" ht="22.5" hidden="1">
      <c r="B2" s="2166" t="s">
        <v>816</v>
      </c>
      <c r="C2" s="2166" t="s">
        <v>817</v>
      </c>
      <c r="D2" s="2165" t="s">
        <v>756</v>
      </c>
      <c r="E2" s="2171">
        <f>I2-3</f>
        <v>-3</v>
      </c>
      <c r="F2" s="2171">
        <f>J2</f>
        <v>0</v>
      </c>
      <c r="H2" s="1843" t="s">
        <v>105</v>
      </c>
      <c r="I2" s="2137"/>
      <c r="J2" s="1795"/>
      <c r="K2" s="2131" t="s">
        <v>434</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818</v>
      </c>
      <c r="J5" s="2361"/>
      <c r="K5" s="2361"/>
      <c r="L5" s="2361"/>
      <c r="M5" s="379"/>
      <c r="W5" s="1744">
        <v>48</v>
      </c>
    </row>
    <row customHeight="1" ht="18">
      <c r="H6" s="489"/>
      <c r="I6" s="2362" t="str">
        <f>IF(org=0,"Не определено",org)</f>
        <v>МУП ЖКХ "Родник"</v>
      </c>
      <c r="J6" s="2362"/>
      <c r="K6" s="2362"/>
      <c r="L6" s="2362"/>
      <c r="M6" s="379"/>
      <c r="W6" s="1744">
        <v>17</v>
      </c>
    </row>
    <row customHeight="1" ht="14.699999999999998">
      <c r="H7" s="489"/>
      <c r="I7" s="570"/>
      <c r="J7" s="576"/>
      <c r="K7" s="576"/>
      <c r="L7" s="865"/>
      <c r="M7" s="306"/>
      <c r="W7" s="1744">
        <v>14</v>
      </c>
    </row>
    <row customHeight="1" ht="14.699999999999998">
      <c r="H8" s="489"/>
      <c r="I8" s="2499" t="s">
        <v>428</v>
      </c>
      <c r="J8" s="2500"/>
      <c r="K8" s="2500"/>
      <c r="L8" s="2501"/>
      <c r="M8" s="2502" t="s">
        <v>429</v>
      </c>
      <c r="W8" s="1744">
        <v>14</v>
      </c>
    </row>
    <row customHeight="1" ht="35.699999999999996">
      <c r="E9" s="2164" t="s">
        <v>747</v>
      </c>
      <c r="F9" s="2164" t="s">
        <v>753</v>
      </c>
      <c r="H9" s="489"/>
      <c r="I9" s="2138" t="s">
        <v>88</v>
      </c>
      <c r="J9" s="2139" t="s">
        <v>430</v>
      </c>
      <c r="K9" s="2177" t="s">
        <v>695</v>
      </c>
      <c r="L9" s="2178" t="s">
        <v>431</v>
      </c>
      <c r="M9" s="2502"/>
      <c r="W9" s="1744">
        <v>34</v>
      </c>
    </row>
    <row customHeight="1" ht="35.699999999999996">
      <c r="B10" s="2166" t="s">
        <v>819</v>
      </c>
      <c r="C10" s="2166" t="s">
        <v>820</v>
      </c>
      <c r="D10" s="2165" t="s">
        <v>756</v>
      </c>
      <c r="E10" s="2169" t="s">
        <v>757</v>
      </c>
      <c r="F10" s="2169" t="s">
        <v>757</v>
      </c>
      <c r="H10" s="489"/>
      <c r="I10" s="2137" t="s">
        <v>187</v>
      </c>
      <c r="J10" s="1999" t="s">
        <v>821</v>
      </c>
      <c r="K10" s="2131" t="s">
        <v>434</v>
      </c>
      <c r="L10" s="931"/>
      <c r="M10" s="410" t="s">
        <v>822</v>
      </c>
      <c r="W10" s="1744">
        <v>34</v>
      </c>
    </row>
    <row customHeight="1" ht="50.25">
      <c r="B11" s="2166" t="s">
        <v>823</v>
      </c>
      <c r="C11" s="2166" t="s">
        <v>824</v>
      </c>
      <c r="D11" s="2165" t="s">
        <v>756</v>
      </c>
      <c r="E11" s="2169" t="s">
        <v>757</v>
      </c>
      <c r="F11" s="2169" t="s">
        <v>757</v>
      </c>
      <c r="H11" s="489"/>
      <c r="I11" s="2137" t="s">
        <v>104</v>
      </c>
      <c r="J11" s="1999" t="s">
        <v>825</v>
      </c>
      <c r="K11" s="2131" t="s">
        <v>434</v>
      </c>
      <c r="L11" s="931"/>
      <c r="M11" s="410" t="s">
        <v>822</v>
      </c>
      <c r="W11" s="1744">
        <v>48</v>
      </c>
    </row>
    <row customHeight="1" ht="48.29999999999999">
      <c r="B12" s="2166" t="s">
        <v>826</v>
      </c>
      <c r="C12" s="2166" t="s">
        <v>827</v>
      </c>
      <c r="D12" s="2165" t="s">
        <v>756</v>
      </c>
      <c r="E12" s="2169" t="s">
        <v>757</v>
      </c>
      <c r="F12" s="2169" t="s">
        <v>757</v>
      </c>
      <c r="H12" s="1801"/>
      <c r="I12" s="2137" t="s">
        <v>90</v>
      </c>
      <c r="J12" s="2144" t="s">
        <v>828</v>
      </c>
      <c r="K12" s="2131" t="s">
        <v>434</v>
      </c>
      <c r="L12" s="931"/>
      <c r="M12" s="410" t="s">
        <v>829</v>
      </c>
      <c r="N12" s="1737"/>
      <c r="P12" s="1744"/>
      <c r="W12" s="1744">
        <v>46</v>
      </c>
    </row>
    <row customHeight="1" ht="14.699999999999998">
      <c r="E13" s="456"/>
      <c r="H13" s="489"/>
      <c r="I13" s="460"/>
      <c r="J13" s="764" t="s">
        <v>830</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82</v>
      </c>
      <c r="B16" s="1744">
        <v>9</v>
      </c>
      <c r="C16" s="1744">
        <v>9</v>
      </c>
      <c r="D16" s="1744">
        <v>9</v>
      </c>
      <c r="E16" s="2143" t="s">
        <v>136</v>
      </c>
      <c r="F16" s="2168" t="s">
        <v>136</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FEF4F6-102F-8CE9-E69C-A80D08D8F8BF}"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2449" width="10.7109375" hidden="1" customWidth="1"/>
    <col min="2" max="2" style="8354" width="16.8515625" hidden="1" customWidth="1"/>
    <col min="3" max="3" style="8355" width="5.57421875" hidden="1" customWidth="1"/>
    <col min="4" max="4" style="8273" width="3.00390625" customWidth="1"/>
    <col min="5" max="5" style="8273" width="7.00390625" customWidth="1"/>
    <col min="6" max="6" style="8273" width="56.00390625" customWidth="1"/>
    <col min="7" max="7" style="8273" width="10.00390625" customWidth="1"/>
    <col min="8" max="8" style="8273" width="40.7109375" hidden="1" customWidth="1"/>
    <col min="9" max="9" style="8273" width="40.00390625" customWidth="1"/>
    <col min="10" max="10" style="8273" width="102.00390625" customWidth="1"/>
    <col min="11" max="11" style="8354" width="9.00390625" customWidth="1"/>
    <col min="12" max="12" style="8355" width="5.00390625" customWidth="1"/>
    <col min="13" max="13" style="8355" width="3.00390625" customWidth="1"/>
    <col min="14" max="17" style="8354" width="3.00390625" customWidth="1"/>
    <col min="18" max="18" style="8355" width="10.00390625" customWidth="1"/>
    <col min="19" max="19" style="8354" width="34.00390625" customWidth="1"/>
    <col min="20" max="20" style="8354" width="9.00390625" customWidth="1"/>
    <col min="21" max="21" style="12450" width="8.00390625" customWidth="1"/>
    <col min="22" max="26" style="8354" width="8.00390625" customWidth="1"/>
    <col min="27" max="31" style="8237" width="8.00390625" customWidth="1"/>
    <col min="32" max="32" style="8273" width="10.421875" hidden="1" customWidth="1"/>
  </cols>
  <sheetData>
    <row s="8354" customFormat="1" customHeight="1" ht="22.5" hidden="1">
      <c r="A1" s="1100"/>
      <c r="C1" s="1749"/>
      <c r="D1" s="650"/>
      <c r="H1" s="1273">
        <v>4</v>
      </c>
      <c r="I1" s="1273">
        <v>4</v>
      </c>
      <c r="L1" s="1749"/>
      <c r="M1" s="1749"/>
      <c r="R1" s="1749"/>
      <c r="AF1" s="1273" t="s">
        <v>14</v>
      </c>
    </row>
    <row s="8354" customFormat="1" customHeight="1" ht="22.5" hidden="1">
      <c r="A2" s="1100"/>
      <c r="C2" s="1749"/>
      <c r="D2" s="651"/>
      <c r="E2" s="1750"/>
      <c r="F2" s="653"/>
      <c r="G2" s="1752" t="s">
        <v>681</v>
      </c>
      <c r="H2" s="654"/>
      <c r="I2" s="654"/>
      <c r="J2" s="655" t="s">
        <v>831</v>
      </c>
      <c r="K2" s="656"/>
      <c r="L2" s="1749"/>
      <c r="M2" s="1749"/>
      <c r="R2" s="1749"/>
      <c r="U2" s="657"/>
      <c r="AA2" s="1745"/>
      <c r="AB2" s="1745"/>
      <c r="AC2" s="1745"/>
      <c r="AD2" s="1745"/>
      <c r="AE2" s="1745"/>
      <c r="AF2" s="1273">
        <v>0</v>
      </c>
    </row>
    <row customHeight="1" ht="11.25" hidden="1">
      <c r="AF3" s="1744">
        <v>0</v>
      </c>
    </row>
    <row s="8237"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832</v>
      </c>
      <c r="F6" s="2420"/>
      <c r="G6" s="2420"/>
      <c r="H6" s="2420"/>
      <c r="I6" s="2420"/>
      <c r="J6" s="669"/>
      <c r="AF6" s="1744">
        <v>30</v>
      </c>
    </row>
    <row customHeight="1" ht="11.549999999999999">
      <c r="E7" s="2362" t="str">
        <f>IF(org=0,"Не определено",org)</f>
        <v>МУП ЖКХ "Родник"</v>
      </c>
      <c r="F7" s="2362"/>
      <c r="G7" s="2362"/>
      <c r="H7" s="2362"/>
      <c r="I7" s="2362"/>
      <c r="AF7" s="1744">
        <v>11</v>
      </c>
    </row>
    <row customHeight="1" ht="11.549999999999999">
      <c r="E8" s="1248"/>
      <c r="F8" s="1248"/>
      <c r="G8" s="1248"/>
      <c r="H8" s="1248"/>
      <c r="I8" s="1248"/>
      <c r="AF8" s="1744">
        <v>11</v>
      </c>
    </row>
    <row s="8355" customFormat="1" customHeight="1" ht="4.2">
      <c r="A9" s="1280"/>
      <c r="D9" s="1755"/>
      <c r="H9" s="1002"/>
      <c r="I9" s="1002" t="s">
        <v>192</v>
      </c>
      <c r="AF9" s="1749">
        <v>4</v>
      </c>
    </row>
    <row customHeight="1" ht="11.549999999999999">
      <c r="E10" s="824"/>
      <c r="F10" s="2480" t="s">
        <v>183</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693</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694</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428</v>
      </c>
      <c r="F13" s="2483"/>
      <c r="G13" s="2483"/>
      <c r="H13" s="1664"/>
      <c r="I13" s="1664"/>
      <c r="J13" s="2240"/>
      <c r="AF13" s="1744">
        <v>11</v>
      </c>
    </row>
    <row customHeight="1" ht="24">
      <c r="E14" s="1752" t="s">
        <v>88</v>
      </c>
      <c r="F14" s="1747" t="s">
        <v>430</v>
      </c>
      <c r="G14" s="1747" t="s">
        <v>695</v>
      </c>
      <c r="H14" s="1747" t="s">
        <v>431</v>
      </c>
      <c r="I14" s="1747" t="s">
        <v>431</v>
      </c>
      <c r="J14" s="2240"/>
      <c r="AF14" s="1744">
        <v>23</v>
      </c>
    </row>
    <row customHeight="1" ht="19.95">
      <c r="D15" s="1751"/>
      <c r="E15" s="1743" t="s">
        <v>187</v>
      </c>
      <c r="F15" s="820" t="s">
        <v>833</v>
      </c>
      <c r="G15" s="1759" t="s">
        <v>681</v>
      </c>
      <c r="H15" s="670"/>
      <c r="I15" s="670"/>
      <c r="J15" s="402" t="s">
        <v>834</v>
      </c>
      <c r="K15" s="656" t="s">
        <v>759</v>
      </c>
      <c r="AF15" s="1744">
        <v>19</v>
      </c>
    </row>
    <row customHeight="1" ht="35.699999999999996">
      <c r="D16" s="1751"/>
      <c r="E16" s="1743" t="s">
        <v>104</v>
      </c>
      <c r="F16" s="820" t="s">
        <v>835</v>
      </c>
      <c r="G16" s="1759" t="s">
        <v>681</v>
      </c>
      <c r="H16" s="671">
        <f>SUM(H17,H20:H32)</f>
        <v>0</v>
      </c>
      <c r="I16" s="671">
        <f>SUM(I17,I20,I23,I26,I29:I32)</f>
        <v>0</v>
      </c>
      <c r="J16" s="402" t="s">
        <v>836</v>
      </c>
      <c r="K16" s="656" t="s">
        <v>759</v>
      </c>
      <c r="AF16" s="1744">
        <v>34</v>
      </c>
    </row>
    <row customHeight="1" ht="19.95">
      <c r="D17" s="1751"/>
      <c r="E17" s="1777" t="s">
        <v>837</v>
      </c>
      <c r="F17" s="1067" t="s">
        <v>838</v>
      </c>
      <c r="G17" s="1756" t="s">
        <v>681</v>
      </c>
      <c r="H17" s="670"/>
      <c r="I17" s="670"/>
      <c r="J17" s="402" t="s">
        <v>839</v>
      </c>
      <c r="K17" s="656"/>
      <c r="AF17" s="1744">
        <v>19</v>
      </c>
    </row>
    <row customHeight="1" ht="24">
      <c r="D18" s="1751"/>
      <c r="E18" s="1777" t="s">
        <v>840</v>
      </c>
      <c r="F18" s="1763" t="s">
        <v>841</v>
      </c>
      <c r="G18" s="1756" t="s">
        <v>681</v>
      </c>
      <c r="H18" s="670"/>
      <c r="I18" s="670"/>
      <c r="J18" s="402" t="s">
        <v>842</v>
      </c>
      <c r="K18" s="656"/>
      <c r="AF18" s="1744">
        <v>23</v>
      </c>
    </row>
    <row customHeight="1" ht="35.699999999999996">
      <c r="D19" s="1751"/>
      <c r="E19" s="1777" t="s">
        <v>843</v>
      </c>
      <c r="F19" s="1763" t="s">
        <v>844</v>
      </c>
      <c r="G19" s="1756" t="s">
        <v>681</v>
      </c>
      <c r="H19" s="670"/>
      <c r="I19" s="670"/>
      <c r="J19" s="402"/>
      <c r="K19" s="656"/>
      <c r="AF19" s="1744">
        <v>34</v>
      </c>
    </row>
    <row customHeight="1" ht="19.95">
      <c r="D20" s="1751"/>
      <c r="E20" s="1777" t="s">
        <v>435</v>
      </c>
      <c r="F20" s="1067" t="s">
        <v>845</v>
      </c>
      <c r="G20" s="1756" t="s">
        <v>681</v>
      </c>
      <c r="H20" s="670"/>
      <c r="I20" s="670"/>
      <c r="J20" s="402" t="s">
        <v>846</v>
      </c>
      <c r="K20" s="656"/>
      <c r="AF20" s="1744">
        <v>19</v>
      </c>
    </row>
    <row customHeight="1" ht="19.95">
      <c r="D21" s="1751"/>
      <c r="E21" s="1777" t="s">
        <v>847</v>
      </c>
      <c r="F21" s="1763" t="s">
        <v>848</v>
      </c>
      <c r="G21" s="1756" t="s">
        <v>681</v>
      </c>
      <c r="H21" s="670"/>
      <c r="I21" s="670"/>
      <c r="J21" s="402"/>
      <c r="K21" s="656"/>
      <c r="AF21" s="1744">
        <v>19</v>
      </c>
    </row>
    <row customHeight="1" ht="19.95">
      <c r="D22" s="1751"/>
      <c r="E22" s="1777" t="s">
        <v>849</v>
      </c>
      <c r="F22" s="1763" t="s">
        <v>850</v>
      </c>
      <c r="G22" s="1756" t="s">
        <v>681</v>
      </c>
      <c r="H22" s="670"/>
      <c r="I22" s="670"/>
      <c r="J22" s="402"/>
      <c r="K22" s="656"/>
      <c r="AF22" s="1744">
        <v>19</v>
      </c>
    </row>
    <row customHeight="1" ht="24">
      <c r="D23" s="1751"/>
      <c r="E23" s="1777" t="s">
        <v>438</v>
      </c>
      <c r="F23" s="1067" t="s">
        <v>851</v>
      </c>
      <c r="G23" s="1756" t="s">
        <v>681</v>
      </c>
      <c r="H23" s="670"/>
      <c r="I23" s="670"/>
      <c r="J23" s="402" t="s">
        <v>852</v>
      </c>
      <c r="K23" s="656"/>
      <c r="AF23" s="1744">
        <v>23</v>
      </c>
    </row>
    <row customHeight="1" ht="19.95">
      <c r="D24" s="1751"/>
      <c r="E24" s="1777" t="s">
        <v>853</v>
      </c>
      <c r="F24" s="1763" t="s">
        <v>854</v>
      </c>
      <c r="G24" s="1756" t="s">
        <v>681</v>
      </c>
      <c r="H24" s="670"/>
      <c r="I24" s="670"/>
      <c r="J24" s="402"/>
      <c r="K24" s="656"/>
      <c r="AF24" s="1744">
        <v>19</v>
      </c>
    </row>
    <row customHeight="1" ht="35.699999999999996">
      <c r="D25" s="1751"/>
      <c r="E25" s="1777" t="s">
        <v>855</v>
      </c>
      <c r="F25" s="1763" t="s">
        <v>856</v>
      </c>
      <c r="G25" s="1756" t="s">
        <v>681</v>
      </c>
      <c r="H25" s="670"/>
      <c r="I25" s="670"/>
      <c r="J25" s="402"/>
      <c r="K25" s="656"/>
      <c r="AF25" s="1744">
        <v>34</v>
      </c>
    </row>
    <row customHeight="1" ht="24">
      <c r="D26" s="1751"/>
      <c r="E26" s="1777" t="s">
        <v>857</v>
      </c>
      <c r="F26" s="1067" t="s">
        <v>858</v>
      </c>
      <c r="G26" s="1756" t="s">
        <v>681</v>
      </c>
      <c r="H26" s="670"/>
      <c r="I26" s="670"/>
      <c r="J26" s="402" t="s">
        <v>859</v>
      </c>
      <c r="K26" s="656"/>
      <c r="AF26" s="1744">
        <v>23</v>
      </c>
    </row>
    <row customHeight="1" ht="19.95">
      <c r="D27" s="1751"/>
      <c r="E27" s="1788" t="s">
        <v>860</v>
      </c>
      <c r="F27" s="1763" t="s">
        <v>861</v>
      </c>
      <c r="G27" s="1767" t="s">
        <v>681</v>
      </c>
      <c r="H27" s="1789"/>
      <c r="I27" s="1789"/>
      <c r="J27" s="402"/>
      <c r="K27" s="656"/>
      <c r="AF27" s="1744">
        <v>19</v>
      </c>
    </row>
    <row customHeight="1" ht="19.95">
      <c r="D28" s="1751"/>
      <c r="E28" s="1788" t="s">
        <v>862</v>
      </c>
      <c r="F28" s="1763" t="s">
        <v>863</v>
      </c>
      <c r="G28" s="1767" t="s">
        <v>681</v>
      </c>
      <c r="H28" s="1789"/>
      <c r="I28" s="1789"/>
      <c r="J28" s="402"/>
      <c r="K28" s="656"/>
      <c r="AF28" s="1744">
        <v>19</v>
      </c>
    </row>
    <row customHeight="1" ht="19.95">
      <c r="D29" s="1751"/>
      <c r="E29" s="1788" t="s">
        <v>864</v>
      </c>
      <c r="F29" s="1067" t="s">
        <v>865</v>
      </c>
      <c r="G29" s="1767" t="s">
        <v>681</v>
      </c>
      <c r="H29" s="1789"/>
      <c r="I29" s="1789"/>
      <c r="J29" s="402"/>
      <c r="K29" s="656"/>
      <c r="AF29" s="1744">
        <v>19</v>
      </c>
    </row>
    <row customHeight="1" ht="19.95">
      <c r="D30" s="1751"/>
      <c r="E30" s="1788" t="s">
        <v>866</v>
      </c>
      <c r="F30" s="1067" t="s">
        <v>867</v>
      </c>
      <c r="G30" s="1767" t="s">
        <v>681</v>
      </c>
      <c r="H30" s="1789"/>
      <c r="I30" s="1789"/>
      <c r="J30" s="402"/>
      <c r="K30" s="656"/>
      <c r="AF30" s="1744">
        <v>19</v>
      </c>
    </row>
    <row customHeight="1" ht="19.95">
      <c r="D31" s="1751"/>
      <c r="E31" s="1788" t="s">
        <v>868</v>
      </c>
      <c r="F31" s="1067" t="s">
        <v>869</v>
      </c>
      <c r="G31" s="1767" t="s">
        <v>681</v>
      </c>
      <c r="H31" s="1789"/>
      <c r="I31" s="1789"/>
      <c r="J31" s="402"/>
      <c r="K31" s="656"/>
      <c r="AF31" s="1744">
        <v>19</v>
      </c>
    </row>
    <row s="8354" customFormat="1" customHeight="1" ht="35.699999999999996">
      <c r="A32" s="1100"/>
      <c r="C32" s="1749"/>
      <c r="D32" s="1751"/>
      <c r="E32" s="1788" t="s">
        <v>870</v>
      </c>
      <c r="F32" s="1067" t="s">
        <v>871</v>
      </c>
      <c r="G32" s="1757" t="s">
        <v>681</v>
      </c>
      <c r="H32" s="692">
        <f>SUM(H33:H34)</f>
        <v>0</v>
      </c>
      <c r="I32" s="692">
        <f>SUM(I33:I34)</f>
        <v>0</v>
      </c>
      <c r="J32" s="402" t="s">
        <v>872</v>
      </c>
      <c r="K32" s="656"/>
      <c r="L32" s="1749"/>
      <c r="M32" s="1749"/>
      <c r="R32" s="1749"/>
      <c r="U32" s="657"/>
      <c r="AA32" s="1745"/>
      <c r="AB32" s="1745"/>
      <c r="AC32" s="1745"/>
      <c r="AD32" s="1745"/>
      <c r="AE32" s="1745"/>
      <c r="AF32" s="1273">
        <v>34</v>
      </c>
    </row>
    <row s="8355" customFormat="1" customHeight="1" ht="1.05">
      <c r="A33" s="1280"/>
      <c r="D33" s="661"/>
      <c r="E33" s="915" t="str">
        <f>E32&amp;".0"</f>
        <v>2.8.0</v>
      </c>
      <c r="F33" s="1104"/>
      <c r="G33" s="664"/>
      <c r="H33" s="1105"/>
      <c r="I33" s="1105"/>
      <c r="J33" s="1106"/>
      <c r="AF33" s="1749">
        <v>1</v>
      </c>
    </row>
    <row s="8354" customFormat="1" customHeight="1" ht="19.95">
      <c r="A34" s="1100"/>
      <c r="C34" s="1749"/>
      <c r="D34" s="1746"/>
      <c r="E34" s="683"/>
      <c r="F34" s="1779" t="s">
        <v>706</v>
      </c>
      <c r="G34" s="685"/>
      <c r="H34" s="686"/>
      <c r="I34" s="686"/>
      <c r="J34" s="414" t="s">
        <v>873</v>
      </c>
      <c r="K34" s="656"/>
      <c r="L34" s="1749"/>
      <c r="M34" s="1749"/>
      <c r="R34" s="1749"/>
      <c r="U34" s="657"/>
      <c r="AA34" s="1745"/>
      <c r="AB34" s="1745"/>
      <c r="AC34" s="1745"/>
      <c r="AD34" s="1745"/>
      <c r="AE34" s="1745"/>
      <c r="AF34" s="1273">
        <v>19</v>
      </c>
    </row>
    <row customHeight="1" ht="60">
      <c r="D35" s="1751"/>
      <c r="E35" s="1788" t="s">
        <v>874</v>
      </c>
      <c r="F35" s="1067" t="s">
        <v>875</v>
      </c>
      <c r="G35" s="1767" t="s">
        <v>681</v>
      </c>
      <c r="H35" s="1789"/>
      <c r="I35" s="1789"/>
      <c r="J35" s="402" t="s">
        <v>876</v>
      </c>
      <c r="K35" s="656"/>
      <c r="AF35" s="1744">
        <v>57</v>
      </c>
    </row>
    <row s="8354" customFormat="1" customHeight="1" ht="24">
      <c r="A36" s="1102" t="s">
        <v>707</v>
      </c>
      <c r="C36" s="1749"/>
      <c r="D36" s="1751"/>
      <c r="E36" s="1777" t="s">
        <v>90</v>
      </c>
      <c r="F36" s="820" t="s">
        <v>877</v>
      </c>
      <c r="G36" s="1756" t="s">
        <v>681</v>
      </c>
      <c r="H36" s="670"/>
      <c r="I36" s="670"/>
      <c r="J36" s="402" t="s">
        <v>878</v>
      </c>
      <c r="K36" s="656"/>
      <c r="L36" s="1749"/>
      <c r="M36" s="1749"/>
      <c r="R36" s="1749"/>
      <c r="U36" s="657"/>
      <c r="AA36" s="1745"/>
      <c r="AB36" s="1745"/>
      <c r="AC36" s="1745"/>
      <c r="AD36" s="1745"/>
      <c r="AE36" s="1745"/>
      <c r="AF36" s="1273">
        <v>23</v>
      </c>
    </row>
    <row s="8354" customFormat="1" customHeight="1" ht="35.699999999999996">
      <c r="A37" s="1102"/>
      <c r="C37" s="1749"/>
      <c r="D37" s="1751"/>
      <c r="E37" s="1777" t="s">
        <v>452</v>
      </c>
      <c r="F37" s="1067" t="s">
        <v>879</v>
      </c>
      <c r="G37" s="1767"/>
      <c r="H37" s="670"/>
      <c r="I37" s="670"/>
      <c r="J37" s="402"/>
      <c r="K37" s="656"/>
      <c r="L37" s="1749"/>
      <c r="M37" s="1749"/>
      <c r="R37" s="1749"/>
      <c r="U37" s="657"/>
      <c r="AA37" s="1745"/>
      <c r="AB37" s="1745"/>
      <c r="AC37" s="1745"/>
      <c r="AD37" s="1745"/>
      <c r="AE37" s="1745"/>
      <c r="AF37" s="1273">
        <v>34</v>
      </c>
    </row>
    <row s="8354" customFormat="1" customHeight="1" ht="19.95">
      <c r="A38" s="1100"/>
      <c r="C38" s="1749"/>
      <c r="D38" s="688"/>
      <c r="E38" s="1777" t="s">
        <v>91</v>
      </c>
      <c r="F38" s="820" t="s">
        <v>880</v>
      </c>
      <c r="G38" s="1756" t="s">
        <v>681</v>
      </c>
      <c r="H38" s="670"/>
      <c r="I38" s="670"/>
      <c r="J38" s="402" t="s">
        <v>881</v>
      </c>
      <c r="K38" s="656"/>
      <c r="L38" s="1749"/>
      <c r="M38" s="1749"/>
      <c r="R38" s="1749"/>
      <c r="U38" s="657"/>
      <c r="AA38" s="1745"/>
      <c r="AB38" s="1745"/>
      <c r="AC38" s="1745"/>
      <c r="AD38" s="1745"/>
      <c r="AE38" s="1745"/>
      <c r="AF38" s="1273">
        <v>19</v>
      </c>
    </row>
    <row s="8354" customFormat="1" customHeight="1" ht="24">
      <c r="A39" s="1100"/>
      <c r="C39" s="1749"/>
      <c r="D39" s="688"/>
      <c r="E39" s="1777" t="s">
        <v>882</v>
      </c>
      <c r="F39" s="1067" t="s">
        <v>883</v>
      </c>
      <c r="G39" s="1767" t="s">
        <v>681</v>
      </c>
      <c r="H39" s="670"/>
      <c r="I39" s="670"/>
      <c r="J39" s="402" t="s">
        <v>884</v>
      </c>
      <c r="K39" s="656"/>
      <c r="L39" s="1749"/>
      <c r="M39" s="1749"/>
      <c r="R39" s="1749"/>
      <c r="U39" s="657"/>
      <c r="AA39" s="1745"/>
      <c r="AB39" s="1745"/>
      <c r="AC39" s="1745"/>
      <c r="AD39" s="1745"/>
      <c r="AE39" s="1745"/>
      <c r="AF39" s="1273">
        <v>23</v>
      </c>
    </row>
    <row s="8354" customFormat="1" customHeight="1" ht="24">
      <c r="A40" s="1100"/>
      <c r="C40" s="1749"/>
      <c r="D40" s="1751"/>
      <c r="E40" s="1777" t="s">
        <v>885</v>
      </c>
      <c r="F40" s="1763" t="s">
        <v>886</v>
      </c>
      <c r="G40" s="1756" t="s">
        <v>681</v>
      </c>
      <c r="H40" s="670"/>
      <c r="I40" s="670"/>
      <c r="J40" s="402" t="s">
        <v>887</v>
      </c>
      <c r="K40" s="656"/>
      <c r="L40" s="1749"/>
      <c r="M40" s="1749"/>
      <c r="R40" s="1749"/>
      <c r="U40" s="657"/>
      <c r="AA40" s="1745"/>
      <c r="AB40" s="1745"/>
      <c r="AC40" s="1745"/>
      <c r="AD40" s="1745"/>
      <c r="AE40" s="1745"/>
      <c r="AF40" s="1273">
        <v>23</v>
      </c>
    </row>
    <row s="8354" customFormat="1" customHeight="1" ht="24">
      <c r="A41" s="1100"/>
      <c r="C41" s="1749"/>
      <c r="D41" s="1751"/>
      <c r="E41" s="1777" t="s">
        <v>888</v>
      </c>
      <c r="F41" s="1763" t="s">
        <v>889</v>
      </c>
      <c r="G41" s="1756" t="s">
        <v>681</v>
      </c>
      <c r="H41" s="670"/>
      <c r="I41" s="670"/>
      <c r="J41" s="402" t="s">
        <v>890</v>
      </c>
      <c r="K41" s="656"/>
      <c r="L41" s="1749"/>
      <c r="M41" s="1749"/>
      <c r="R41" s="1749"/>
      <c r="U41" s="657"/>
      <c r="AA41" s="1745"/>
      <c r="AB41" s="1745"/>
      <c r="AC41" s="1745"/>
      <c r="AD41" s="1745"/>
      <c r="AE41" s="1745"/>
      <c r="AF41" s="1273">
        <v>23</v>
      </c>
    </row>
    <row s="8354" customFormat="1" customHeight="1" ht="24">
      <c r="A42" s="1100"/>
      <c r="C42" s="1749"/>
      <c r="D42" s="1751"/>
      <c r="E42" s="1777" t="s">
        <v>891</v>
      </c>
      <c r="F42" s="1763" t="s">
        <v>892</v>
      </c>
      <c r="G42" s="1756" t="s">
        <v>681</v>
      </c>
      <c r="H42" s="670"/>
      <c r="I42" s="670"/>
      <c r="J42" s="402" t="s">
        <v>893</v>
      </c>
      <c r="K42" s="656"/>
      <c r="L42" s="1749"/>
      <c r="M42" s="1749"/>
      <c r="R42" s="1749"/>
      <c r="U42" s="657"/>
      <c r="AA42" s="1745"/>
      <c r="AB42" s="1745"/>
      <c r="AC42" s="1745"/>
      <c r="AD42" s="1745"/>
      <c r="AE42" s="1745"/>
      <c r="AF42" s="1273">
        <v>23</v>
      </c>
    </row>
    <row s="8354" customFormat="1" customHeight="1" ht="35.699999999999996">
      <c r="A43" s="1100"/>
      <c r="C43" s="1749" t="s">
        <v>717</v>
      </c>
      <c r="D43" s="1751"/>
      <c r="E43" s="1777" t="s">
        <v>118</v>
      </c>
      <c r="F43" s="820" t="s">
        <v>758</v>
      </c>
      <c r="G43" s="1759" t="s">
        <v>894</v>
      </c>
      <c r="H43" s="514"/>
      <c r="I43" s="514"/>
      <c r="J43" s="402" t="s">
        <v>895</v>
      </c>
      <c r="K43" s="656"/>
      <c r="L43" s="1749"/>
      <c r="M43" s="1749"/>
      <c r="R43" s="1749"/>
      <c r="U43" s="657"/>
      <c r="AA43" s="1745"/>
      <c r="AB43" s="1745"/>
      <c r="AC43" s="1745"/>
      <c r="AD43" s="1745"/>
      <c r="AE43" s="1745"/>
      <c r="AF43" s="1273">
        <v>34</v>
      </c>
    </row>
    <row s="8354" customFormat="1" customHeight="1" ht="35.699999999999996">
      <c r="A44" s="1100"/>
      <c r="C44" s="1749"/>
      <c r="D44" s="1751"/>
      <c r="E44" s="1777" t="s">
        <v>92</v>
      </c>
      <c r="F44" s="820" t="s">
        <v>896</v>
      </c>
      <c r="G44" s="1756" t="s">
        <v>897</v>
      </c>
      <c r="H44" s="658"/>
      <c r="I44" s="658"/>
      <c r="J44" s="402" t="s">
        <v>898</v>
      </c>
      <c r="K44" s="656"/>
      <c r="L44" s="1749"/>
      <c r="M44" s="1749"/>
      <c r="R44" s="1749"/>
      <c r="U44" s="657"/>
      <c r="AA44" s="1745"/>
      <c r="AB44" s="1745"/>
      <c r="AC44" s="1745"/>
      <c r="AD44" s="1745"/>
      <c r="AE44" s="1745"/>
      <c r="AF44" s="1273">
        <v>34</v>
      </c>
    </row>
    <row s="8354" customFormat="1" customHeight="1" ht="24">
      <c r="A45" s="1100"/>
      <c r="C45" s="1749"/>
      <c r="D45" s="1751"/>
      <c r="E45" s="1777" t="s">
        <v>93</v>
      </c>
      <c r="F45" s="820" t="s">
        <v>899</v>
      </c>
      <c r="G45" s="1767" t="s">
        <v>900</v>
      </c>
      <c r="H45" s="658"/>
      <c r="I45" s="658"/>
      <c r="J45" s="402" t="s">
        <v>901</v>
      </c>
      <c r="K45" s="656"/>
      <c r="L45" s="1749"/>
      <c r="M45" s="1749"/>
      <c r="R45" s="1749"/>
      <c r="U45" s="657"/>
      <c r="AA45" s="1745"/>
      <c r="AB45" s="1745"/>
      <c r="AC45" s="1745"/>
      <c r="AD45" s="1745"/>
      <c r="AE45" s="1745"/>
      <c r="AF45" s="1273">
        <v>23</v>
      </c>
    </row>
    <row s="8354" customFormat="1" customHeight="1" ht="19.95">
      <c r="A46" s="1100"/>
      <c r="C46" s="1749"/>
      <c r="D46" s="1751"/>
      <c r="E46" s="1777" t="s">
        <v>131</v>
      </c>
      <c r="F46" s="820" t="s">
        <v>902</v>
      </c>
      <c r="G46" s="1756" t="s">
        <v>719</v>
      </c>
      <c r="H46" s="690"/>
      <c r="I46" s="690"/>
      <c r="J46" s="402"/>
      <c r="K46" s="656"/>
      <c r="L46" s="1749"/>
      <c r="M46" s="1749"/>
      <c r="R46" s="1749"/>
      <c r="U46" s="657"/>
      <c r="AA46" s="1745"/>
      <c r="AB46" s="1745"/>
      <c r="AC46" s="1745"/>
      <c r="AD46" s="1745"/>
      <c r="AE46" s="1745"/>
      <c r="AF46" s="1273">
        <v>19</v>
      </c>
    </row>
    <row customHeight="1" ht="11.549999999999999">
      <c r="D47" s="1751"/>
      <c r="AF47" s="1744">
        <v>11</v>
      </c>
    </row>
    <row s="8962"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8962"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8962"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8962"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8962"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8962"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8962"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8962"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8962"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8962"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8962"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8962"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8962"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8962"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8962"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8962"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8962"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8962"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8962"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8962"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8962"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8962"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8962"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8962"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8962"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8962"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8962"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8962"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8962"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8962"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8962"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8962"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8962"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8962"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8962"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8962"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8962"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8962"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8962"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8962"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8962"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8962"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8962"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8962"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8962"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8962"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8962"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8962"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8962"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8962"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8962"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8962"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8962"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8962"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8962"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8962"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8962"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8962"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8962"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8962"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8962"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8962"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8962"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8962"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8962"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8962"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8962"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8962"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8962"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8962"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8962"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8962"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8962"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8962"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8962"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8962"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8962"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8962"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8962"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8962"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8962"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8962"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8962"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8962"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8962"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8962"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8962"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8962"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8962"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8962"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8962"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8962"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8962"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8962"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8962"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8962"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8962"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8962"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8962"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8962"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8962"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8962"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8962"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8962"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8962"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8962"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8962"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8962"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8962"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8962"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8962"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8962"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8962"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8962"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8962"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8962"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8962"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8962"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8962"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8962"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8962"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8962"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8962"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8962"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8962"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8962"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8962"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8962"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8962"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8962"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8962"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8962"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8962"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8962"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8962"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8962"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8962"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8962"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8962"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8962"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8962"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8962"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8962"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8962"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8962"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8962"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8962"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8962"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8962"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8962"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8962"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8962"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8962"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8962"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8962"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82</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320F54-955D-47F9-5E85-A9938190A4B3}"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2449" width="10.7109375" hidden="1" customWidth="1"/>
    <col min="2" max="2" style="8354" width="16.8515625" hidden="1" customWidth="1"/>
    <col min="3" max="3" style="8355" width="5.57421875" hidden="1" customWidth="1"/>
    <col min="4" max="4" style="8273" width="3.00390625" customWidth="1"/>
    <col min="5" max="5" style="8273" width="7.00390625" customWidth="1"/>
    <col min="6" max="6" style="8273" width="54.00390625" customWidth="1"/>
    <col min="7" max="7" style="8273" width="10.00390625" customWidth="1"/>
    <col min="8" max="8" style="8273" width="40.7109375" hidden="1" customWidth="1"/>
    <col min="9" max="9" style="8273" width="40.00390625" customWidth="1"/>
    <col min="10" max="10" style="8273" width="102.00390625" customWidth="1"/>
    <col min="11" max="11" style="8354" width="9.00390625" customWidth="1"/>
    <col min="12" max="12" style="8355" width="5.00390625" customWidth="1"/>
    <col min="13" max="13" style="8355" width="3.00390625" customWidth="1"/>
    <col min="14" max="17" style="8354" width="3.00390625" customWidth="1"/>
    <col min="18" max="18" style="8355" width="10.00390625" customWidth="1"/>
    <col min="19" max="19" style="8354" width="34.00390625" customWidth="1"/>
    <col min="20" max="20" style="8354" width="9.00390625" customWidth="1"/>
    <col min="21" max="21" style="12450" width="8.00390625" customWidth="1"/>
    <col min="22" max="26" style="8354" width="8.00390625" customWidth="1"/>
    <col min="27" max="31" style="8237" width="8.00390625" customWidth="1"/>
    <col min="32" max="32" style="8273" width="9.140625" hidden="1"/>
  </cols>
  <sheetData>
    <row s="8354" customFormat="1" customHeight="1" ht="22.5" hidden="1">
      <c r="A1" s="1100"/>
      <c r="C1" s="1749"/>
      <c r="D1" s="650"/>
      <c r="H1" s="1273">
        <v>4</v>
      </c>
      <c r="I1" s="1273">
        <v>4</v>
      </c>
      <c r="L1" s="1749"/>
      <c r="M1" s="1749"/>
      <c r="R1" s="1749"/>
      <c r="AF1" s="1273" t="s">
        <v>14</v>
      </c>
    </row>
    <row s="8354" customFormat="1" customHeight="1" ht="22.5" hidden="1">
      <c r="A2" s="1100"/>
      <c r="C2" s="1749"/>
      <c r="D2" s="651"/>
      <c r="E2" s="1771"/>
      <c r="F2" s="653"/>
      <c r="G2" s="1770" t="s">
        <v>681</v>
      </c>
      <c r="H2" s="654"/>
      <c r="I2" s="654"/>
      <c r="J2" s="655" t="s">
        <v>684</v>
      </c>
      <c r="K2" s="656"/>
      <c r="L2" s="1749"/>
      <c r="M2" s="1749"/>
      <c r="R2" s="1749"/>
      <c r="U2" s="657"/>
      <c r="AA2" s="1745"/>
      <c r="AB2" s="1745"/>
      <c r="AC2" s="1745"/>
      <c r="AD2" s="1745"/>
      <c r="AE2" s="1745"/>
      <c r="AF2" s="1273">
        <v>0</v>
      </c>
    </row>
    <row customHeight="1" ht="11.25" hidden="1">
      <c r="AF3" s="1744">
        <v>0</v>
      </c>
    </row>
    <row s="8237"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903</v>
      </c>
      <c r="F6" s="2361"/>
      <c r="G6" s="2361"/>
      <c r="H6" s="2361"/>
      <c r="I6" s="2361"/>
      <c r="J6" s="669"/>
      <c r="AF6" s="1744">
        <v>32</v>
      </c>
    </row>
    <row customHeight="1" ht="25.2">
      <c r="E7" s="2362" t="str">
        <f>IF(org=0,"Не определено",org)</f>
        <v>МУП ЖКХ "Родник"</v>
      </c>
      <c r="F7" s="2362"/>
      <c r="G7" s="2362"/>
      <c r="H7" s="2362"/>
      <c r="I7" s="2362"/>
      <c r="AF7" s="1744">
        <v>24</v>
      </c>
    </row>
    <row customHeight="1" ht="11.549999999999999">
      <c r="E8" s="1248"/>
      <c r="F8" s="1248"/>
      <c r="G8" s="1248"/>
      <c r="H8" s="1248"/>
      <c r="I8" s="1248"/>
      <c r="AF8" s="1744">
        <v>11</v>
      </c>
    </row>
    <row s="8355" customFormat="1" customHeight="1" ht="1.05">
      <c r="A9" s="1280"/>
      <c r="D9" s="1755"/>
      <c r="H9" s="1002"/>
      <c r="I9" s="1002" t="s">
        <v>192</v>
      </c>
      <c r="AF9" s="1749">
        <v>1</v>
      </c>
    </row>
    <row customHeight="1" ht="11.549999999999999">
      <c r="E10" s="824"/>
      <c r="F10" s="2480" t="s">
        <v>183</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693</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694</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428</v>
      </c>
      <c r="F13" s="2483"/>
      <c r="G13" s="2483"/>
      <c r="H13" s="1769"/>
      <c r="I13" s="1769"/>
      <c r="J13" s="2240"/>
      <c r="AF13" s="1744">
        <v>11</v>
      </c>
    </row>
    <row customHeight="1" ht="24">
      <c r="E14" s="1770" t="s">
        <v>88</v>
      </c>
      <c r="F14" s="1773" t="s">
        <v>430</v>
      </c>
      <c r="G14" s="1773" t="s">
        <v>695</v>
      </c>
      <c r="H14" s="1773" t="s">
        <v>431</v>
      </c>
      <c r="I14" s="1773" t="s">
        <v>431</v>
      </c>
      <c r="J14" s="2240"/>
      <c r="AF14" s="1744">
        <v>23</v>
      </c>
    </row>
    <row customHeight="1" ht="19.95">
      <c r="D15" s="1751"/>
      <c r="E15" s="1743" t="s">
        <v>187</v>
      </c>
      <c r="F15" s="820" t="s">
        <v>904</v>
      </c>
      <c r="G15" s="1770" t="s">
        <v>681</v>
      </c>
      <c r="H15" s="670"/>
      <c r="I15" s="670"/>
      <c r="J15" s="402" t="s">
        <v>905</v>
      </c>
      <c r="K15" s="656" t="s">
        <v>759</v>
      </c>
      <c r="AF15" s="1744">
        <v>19</v>
      </c>
    </row>
    <row customHeight="1" ht="24">
      <c r="D16" s="1751"/>
      <c r="E16" s="1743" t="s">
        <v>104</v>
      </c>
      <c r="F16" s="1778" t="s">
        <v>906</v>
      </c>
      <c r="G16" s="1770" t="s">
        <v>681</v>
      </c>
      <c r="H16" s="671">
        <f>SUM(H17,H20:H27)</f>
        <v>0</v>
      </c>
      <c r="I16" s="671">
        <f>SUM(I17,I20:I27)</f>
        <v>0</v>
      </c>
      <c r="J16" s="402" t="s">
        <v>907</v>
      </c>
      <c r="K16" s="656" t="s">
        <v>759</v>
      </c>
      <c r="AF16" s="1744">
        <v>23</v>
      </c>
    </row>
    <row customHeight="1" ht="35.699999999999996">
      <c r="D17" s="1751"/>
      <c r="E17" s="1777" t="s">
        <v>837</v>
      </c>
      <c r="F17" s="1780" t="s">
        <v>908</v>
      </c>
      <c r="G17" s="1767" t="s">
        <v>681</v>
      </c>
      <c r="H17" s="670"/>
      <c r="I17" s="670"/>
      <c r="J17" s="402" t="s">
        <v>909</v>
      </c>
      <c r="K17" s="656"/>
      <c r="AF17" s="1744">
        <v>34</v>
      </c>
    </row>
    <row customHeight="1" ht="19.95">
      <c r="D18" s="1751"/>
      <c r="E18" s="1777" t="s">
        <v>840</v>
      </c>
      <c r="F18" s="1781" t="s">
        <v>910</v>
      </c>
      <c r="G18" s="1767" t="s">
        <v>681</v>
      </c>
      <c r="H18" s="670"/>
      <c r="I18" s="670"/>
      <c r="J18" s="402"/>
      <c r="K18" s="656"/>
      <c r="AF18" s="1744">
        <v>19</v>
      </c>
    </row>
    <row customHeight="1" ht="24">
      <c r="D19" s="1751"/>
      <c r="E19" s="1777" t="s">
        <v>843</v>
      </c>
      <c r="F19" s="1781" t="s">
        <v>911</v>
      </c>
      <c r="G19" s="1767" t="s">
        <v>681</v>
      </c>
      <c r="H19" s="670"/>
      <c r="I19" s="670"/>
      <c r="J19" s="402"/>
      <c r="K19" s="656"/>
      <c r="AF19" s="1744">
        <v>23</v>
      </c>
    </row>
    <row customHeight="1" ht="35.699999999999996">
      <c r="D20" s="1751"/>
      <c r="E20" s="1777" t="s">
        <v>435</v>
      </c>
      <c r="F20" s="1780" t="s">
        <v>912</v>
      </c>
      <c r="G20" s="1767" t="s">
        <v>681</v>
      </c>
      <c r="H20" s="670"/>
      <c r="I20" s="670"/>
      <c r="J20" s="402"/>
      <c r="K20" s="656"/>
      <c r="AF20" s="1744">
        <v>34</v>
      </c>
    </row>
    <row customHeight="1" ht="48.29999999999999">
      <c r="D21" s="1751"/>
      <c r="E21" s="1777" t="s">
        <v>438</v>
      </c>
      <c r="F21" s="1780" t="s">
        <v>913</v>
      </c>
      <c r="G21" s="1767" t="s">
        <v>681</v>
      </c>
      <c r="H21" s="670"/>
      <c r="I21" s="670"/>
      <c r="J21" s="402"/>
      <c r="K21" s="656"/>
      <c r="AF21" s="1744">
        <v>46</v>
      </c>
    </row>
    <row customHeight="1" ht="60">
      <c r="D22" s="1751"/>
      <c r="E22" s="1777" t="s">
        <v>857</v>
      </c>
      <c r="F22" s="1780" t="s">
        <v>914</v>
      </c>
      <c r="G22" s="1767" t="s">
        <v>681</v>
      </c>
      <c r="H22" s="670"/>
      <c r="I22" s="670"/>
      <c r="J22" s="402"/>
      <c r="K22" s="656"/>
      <c r="AF22" s="1744">
        <v>57</v>
      </c>
    </row>
    <row customHeight="1" ht="35.699999999999996">
      <c r="D23" s="1751"/>
      <c r="E23" s="1777" t="s">
        <v>864</v>
      </c>
      <c r="F23" s="1780" t="s">
        <v>915</v>
      </c>
      <c r="G23" s="1767" t="s">
        <v>681</v>
      </c>
      <c r="H23" s="670"/>
      <c r="I23" s="670"/>
      <c r="J23" s="402"/>
      <c r="K23" s="656"/>
      <c r="AF23" s="1744">
        <v>34</v>
      </c>
    </row>
    <row customHeight="1" ht="35.699999999999996">
      <c r="D24" s="1751"/>
      <c r="E24" s="1777" t="s">
        <v>866</v>
      </c>
      <c r="F24" s="1780" t="s">
        <v>916</v>
      </c>
      <c r="G24" s="1767" t="s">
        <v>681</v>
      </c>
      <c r="H24" s="670"/>
      <c r="I24" s="670"/>
      <c r="J24" s="402"/>
      <c r="K24" s="656"/>
      <c r="AF24" s="1744">
        <v>34</v>
      </c>
    </row>
    <row customHeight="1" ht="24">
      <c r="D25" s="1751"/>
      <c r="E25" s="1777" t="s">
        <v>868</v>
      </c>
      <c r="F25" s="1780" t="s">
        <v>917</v>
      </c>
      <c r="G25" s="1767" t="s">
        <v>681</v>
      </c>
      <c r="H25" s="670"/>
      <c r="I25" s="670"/>
      <c r="J25" s="402"/>
      <c r="K25" s="656"/>
      <c r="AF25" s="1744">
        <v>23</v>
      </c>
    </row>
    <row customHeight="1" ht="76.5">
      <c r="D26" s="1751"/>
      <c r="E26" s="1777" t="s">
        <v>870</v>
      </c>
      <c r="F26" s="1780" t="s">
        <v>918</v>
      </c>
      <c r="G26" s="1767" t="s">
        <v>681</v>
      </c>
      <c r="H26" s="670"/>
      <c r="I26" s="670"/>
      <c r="J26" s="402"/>
      <c r="K26" s="656"/>
      <c r="AF26" s="1744">
        <v>73</v>
      </c>
    </row>
    <row s="8354" customFormat="1" customHeight="1" ht="35.699999999999996">
      <c r="A27" s="1100"/>
      <c r="C27" s="1749"/>
      <c r="D27" s="1751"/>
      <c r="E27" s="1742" t="s">
        <v>874</v>
      </c>
      <c r="F27" s="1741" t="s">
        <v>919</v>
      </c>
      <c r="G27" s="1768" t="s">
        <v>681</v>
      </c>
      <c r="H27" s="692">
        <f>SUM(H28:H29)</f>
        <v>0</v>
      </c>
      <c r="I27" s="692">
        <f>SUM(I28:I29)</f>
        <v>0</v>
      </c>
      <c r="J27" s="402" t="s">
        <v>872</v>
      </c>
      <c r="K27" s="656"/>
      <c r="L27" s="1749"/>
      <c r="M27" s="1749"/>
      <c r="R27" s="1749"/>
      <c r="U27" s="657"/>
      <c r="AA27" s="1745"/>
      <c r="AB27" s="1745"/>
      <c r="AC27" s="1745"/>
      <c r="AD27" s="1745"/>
      <c r="AE27" s="1745"/>
      <c r="AF27" s="1273">
        <v>34</v>
      </c>
    </row>
    <row s="8355" customFormat="1" customHeight="1" ht="1.05">
      <c r="A28" s="1280"/>
      <c r="D28" s="661"/>
      <c r="E28" s="915" t="str">
        <f>E27&amp;".0"</f>
        <v>2.9.0</v>
      </c>
      <c r="F28" s="1104"/>
      <c r="G28" s="664"/>
      <c r="H28" s="1105"/>
      <c r="I28" s="1105"/>
      <c r="J28" s="1106"/>
      <c r="AF28" s="1749">
        <v>1</v>
      </c>
    </row>
    <row s="8354" customFormat="1" customHeight="1" ht="19.95">
      <c r="A29" s="1100"/>
      <c r="C29" s="1749"/>
      <c r="D29" s="1746"/>
      <c r="E29" s="683"/>
      <c r="F29" s="1779" t="s">
        <v>706</v>
      </c>
      <c r="G29" s="685"/>
      <c r="H29" s="686"/>
      <c r="I29" s="686"/>
      <c r="J29" s="414" t="s">
        <v>873</v>
      </c>
      <c r="K29" s="656"/>
      <c r="L29" s="1749"/>
      <c r="M29" s="1749"/>
      <c r="R29" s="1749"/>
      <c r="U29" s="657"/>
      <c r="AA29" s="1745"/>
      <c r="AB29" s="1745"/>
      <c r="AC29" s="1745"/>
      <c r="AD29" s="1745"/>
      <c r="AE29" s="1745"/>
      <c r="AF29" s="1273">
        <v>19</v>
      </c>
    </row>
    <row s="8354" customFormat="1" customHeight="1" ht="24">
      <c r="A30" s="1100"/>
      <c r="C30" s="1749"/>
      <c r="D30" s="1751"/>
      <c r="E30" s="1777" t="s">
        <v>90</v>
      </c>
      <c r="F30" s="1774" t="s">
        <v>920</v>
      </c>
      <c r="G30" s="1767" t="s">
        <v>681</v>
      </c>
      <c r="H30" s="670"/>
      <c r="I30" s="670"/>
      <c r="J30" s="402"/>
      <c r="K30" s="656"/>
      <c r="L30" s="1749"/>
      <c r="M30" s="1749"/>
      <c r="R30" s="1749"/>
      <c r="U30" s="657"/>
      <c r="AA30" s="1745"/>
      <c r="AB30" s="1745"/>
      <c r="AC30" s="1745"/>
      <c r="AD30" s="1745"/>
      <c r="AE30" s="1745"/>
      <c r="AF30" s="1273">
        <v>23</v>
      </c>
    </row>
    <row s="8354" customFormat="1" customHeight="1" ht="35.699999999999996">
      <c r="A31" s="1100"/>
      <c r="C31" s="1749"/>
      <c r="D31" s="688"/>
      <c r="E31" s="1777" t="s">
        <v>91</v>
      </c>
      <c r="F31" s="1774" t="s">
        <v>921</v>
      </c>
      <c r="G31" s="1767" t="s">
        <v>681</v>
      </c>
      <c r="H31" s="670"/>
      <c r="I31" s="670"/>
      <c r="J31" s="402" t="s">
        <v>922</v>
      </c>
      <c r="K31" s="656"/>
      <c r="L31" s="1749"/>
      <c r="M31" s="1749"/>
      <c r="R31" s="1749"/>
      <c r="U31" s="657"/>
      <c r="AA31" s="1745"/>
      <c r="AB31" s="1745"/>
      <c r="AC31" s="1745"/>
      <c r="AD31" s="1745"/>
      <c r="AE31" s="1745"/>
      <c r="AF31" s="1273">
        <v>34</v>
      </c>
    </row>
    <row s="8354" customFormat="1" customHeight="1" ht="24">
      <c r="A32" s="1100"/>
      <c r="C32" s="1749"/>
      <c r="D32" s="1751"/>
      <c r="E32" s="1777" t="s">
        <v>882</v>
      </c>
      <c r="F32" s="803" t="s">
        <v>886</v>
      </c>
      <c r="G32" s="1767" t="s">
        <v>681</v>
      </c>
      <c r="H32" s="670"/>
      <c r="I32" s="670"/>
      <c r="J32" s="402" t="s">
        <v>923</v>
      </c>
      <c r="K32" s="656"/>
      <c r="L32" s="1749"/>
      <c r="M32" s="1749"/>
      <c r="R32" s="1749"/>
      <c r="U32" s="657"/>
      <c r="AA32" s="1745"/>
      <c r="AB32" s="1745"/>
      <c r="AC32" s="1745"/>
      <c r="AD32" s="1745"/>
      <c r="AE32" s="1745"/>
      <c r="AF32" s="1273">
        <v>23</v>
      </c>
    </row>
    <row s="8354" customFormat="1" customHeight="1" ht="24">
      <c r="A33" s="1100"/>
      <c r="C33" s="1749"/>
      <c r="D33" s="1751"/>
      <c r="E33" s="1777" t="s">
        <v>924</v>
      </c>
      <c r="F33" s="803" t="s">
        <v>925</v>
      </c>
      <c r="G33" s="1767" t="s">
        <v>681</v>
      </c>
      <c r="H33" s="670"/>
      <c r="I33" s="670"/>
      <c r="J33" s="402" t="s">
        <v>926</v>
      </c>
      <c r="K33" s="656"/>
      <c r="L33" s="1749"/>
      <c r="M33" s="1749"/>
      <c r="R33" s="1749"/>
      <c r="U33" s="657"/>
      <c r="AA33" s="1745"/>
      <c r="AB33" s="1745"/>
      <c r="AC33" s="1745"/>
      <c r="AD33" s="1745"/>
      <c r="AE33" s="1745"/>
      <c r="AF33" s="1273">
        <v>23</v>
      </c>
    </row>
    <row s="8354" customFormat="1" customHeight="1" ht="24">
      <c r="A34" s="1100"/>
      <c r="C34" s="1749"/>
      <c r="D34" s="1751"/>
      <c r="E34" s="1777" t="s">
        <v>927</v>
      </c>
      <c r="F34" s="803" t="s">
        <v>892</v>
      </c>
      <c r="G34" s="1767" t="s">
        <v>681</v>
      </c>
      <c r="H34" s="670"/>
      <c r="I34" s="670"/>
      <c r="J34" s="402" t="s">
        <v>928</v>
      </c>
      <c r="K34" s="656"/>
      <c r="L34" s="1749"/>
      <c r="M34" s="1749"/>
      <c r="R34" s="1749"/>
      <c r="U34" s="657"/>
      <c r="AA34" s="1745"/>
      <c r="AB34" s="1745"/>
      <c r="AC34" s="1745"/>
      <c r="AD34" s="1745"/>
      <c r="AE34" s="1745"/>
      <c r="AF34" s="1273">
        <v>23</v>
      </c>
    </row>
    <row s="8354" customFormat="1" customHeight="1" ht="35.699999999999996">
      <c r="A35" s="1100"/>
      <c r="C35" s="1749" t="s">
        <v>717</v>
      </c>
      <c r="D35" s="1751"/>
      <c r="E35" s="1777" t="s">
        <v>118</v>
      </c>
      <c r="F35" s="1774" t="s">
        <v>758</v>
      </c>
      <c r="G35" s="1770" t="s">
        <v>434</v>
      </c>
      <c r="H35" s="514"/>
      <c r="I35" s="514"/>
      <c r="J35" s="402" t="s">
        <v>929</v>
      </c>
      <c r="K35" s="656"/>
      <c r="L35" s="1749"/>
      <c r="M35" s="1749"/>
      <c r="R35" s="1749"/>
      <c r="U35" s="657"/>
      <c r="AA35" s="1745"/>
      <c r="AB35" s="1745"/>
      <c r="AC35" s="1745"/>
      <c r="AD35" s="1745"/>
      <c r="AE35" s="1745"/>
      <c r="AF35" s="1273">
        <v>34</v>
      </c>
    </row>
    <row s="8354" customFormat="1" customHeight="1" ht="35.699999999999996">
      <c r="A36" s="1100"/>
      <c r="C36" s="1749"/>
      <c r="D36" s="1751"/>
      <c r="E36" s="1777" t="s">
        <v>92</v>
      </c>
      <c r="F36" s="1774" t="s">
        <v>930</v>
      </c>
      <c r="G36" s="1767" t="s">
        <v>897</v>
      </c>
      <c r="H36" s="658"/>
      <c r="I36" s="658"/>
      <c r="J36" s="402" t="s">
        <v>898</v>
      </c>
      <c r="K36" s="656"/>
      <c r="L36" s="1749"/>
      <c r="M36" s="1749"/>
      <c r="R36" s="1749"/>
      <c r="U36" s="657"/>
      <c r="AA36" s="1745"/>
      <c r="AB36" s="1745"/>
      <c r="AC36" s="1745"/>
      <c r="AD36" s="1745"/>
      <c r="AE36" s="1745"/>
      <c r="AF36" s="1273">
        <v>34</v>
      </c>
    </row>
    <row s="8354" customFormat="1" customHeight="1" ht="24">
      <c r="A37" s="1100"/>
      <c r="C37" s="1749"/>
      <c r="D37" s="1751"/>
      <c r="E37" s="1777" t="s">
        <v>93</v>
      </c>
      <c r="F37" s="1774" t="s">
        <v>931</v>
      </c>
      <c r="G37" s="1767" t="s">
        <v>900</v>
      </c>
      <c r="H37" s="658"/>
      <c r="I37" s="658"/>
      <c r="J37" s="402" t="s">
        <v>901</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932</v>
      </c>
      <c r="F39" s="2398" t="s">
        <v>933</v>
      </c>
      <c r="G39" s="2398"/>
      <c r="H39" s="482"/>
      <c r="I39" s="482"/>
      <c r="J39" s="482"/>
      <c r="AF39" s="1744">
        <v>26</v>
      </c>
    </row>
    <row s="8962" customFormat="1" customHeight="1" ht="39.75">
      <c r="A40" s="1100"/>
      <c r="B40" s="1749"/>
      <c r="C40" s="1749"/>
      <c r="D40" s="464"/>
      <c r="F40" s="2398" t="s">
        <v>934</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8962"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8962"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8962"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8962"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8962"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8962"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8962"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8962"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8962"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8962"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8962"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8962"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8962"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8962"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8962"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8962"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8962"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8962"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8962"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8962"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8962"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8962"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8962"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8962"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8962"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8962"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8962"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8962"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8962"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8962"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8962"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8962"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8962"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8962"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8962"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8962"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8962"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8962"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8962"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8962"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8962"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8962"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8962"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8962"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8962"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8962"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8962"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8962"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8962"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8962"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8962"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8962"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8962"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8962"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8962"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8962"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8962"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8962"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8962"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8962"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8962"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8962"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8962"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8962"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8962"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8962"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8962"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8962"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8962"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8962"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8962"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8962"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8962"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8962"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8962"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8962"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8962"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8962"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8962"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8962"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8962"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8962"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8962"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8962"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8962"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8962"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8962"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8962"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8962"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8962"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8962"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8962"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8962"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8962"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8962"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8962"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8962"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8962"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8962"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8962"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8962"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8962"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8962"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8962"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8962"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8962"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8962"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8962"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8962"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8962"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8962"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8962"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8962"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8962"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8962"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8962"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8962"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8962"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8962"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8962"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8962"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8962"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8962"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8962"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8962"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8962"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8962"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8962"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8962"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8962"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8962"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8962"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8962"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8962"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8962"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8962"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8962"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8962"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8962"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8962"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8962"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8962"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8962"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8962"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8962"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8962"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8962"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8962"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8962"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8962"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8962"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8962"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8962"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8962"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8962"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82</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6195B9-42FA-7029-923D-73C7AA3281F1}"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2676" width="9.140625" hidden="1" customWidth="1"/>
    <col min="2" max="2" style="8355" width="3.57421875" hidden="1" customWidth="1"/>
    <col min="3" max="3" style="8273" width="3.00390625" customWidth="1"/>
    <col min="4" max="4" style="8273" width="7.00390625" customWidth="1"/>
    <col min="5" max="5" style="8273" width="69.00390625" customWidth="1"/>
    <col min="6" max="6" style="8273" width="10.00390625" customWidth="1"/>
    <col min="7" max="8" style="8273" width="44.00390625" hidden="1" customWidth="1"/>
    <col min="9" max="9" style="8273" width="44.00390625" customWidth="1"/>
    <col min="10" max="10" style="8273" width="43.00390625" customWidth="1"/>
    <col min="11" max="11" style="8273" width="73.00390625" customWidth="1"/>
    <col min="12" max="12" style="8273" width="3.00390625" customWidth="1"/>
    <col min="13" max="23" style="8273" width="10.00390625" customWidth="1"/>
    <col min="24" max="24" style="8273" width="10.57421875" hidden="1"/>
  </cols>
  <sheetData>
    <row s="8354" customFormat="1" customHeight="1" ht="22.5" hidden="1">
      <c r="A1" s="649"/>
      <c r="B1" s="624"/>
      <c r="G1" s="530">
        <v>4</v>
      </c>
      <c r="I1" s="530">
        <v>4</v>
      </c>
      <c r="K1" s="530">
        <v>5</v>
      </c>
      <c r="X1" s="530" t="s">
        <v>14</v>
      </c>
    </row>
    <row customHeight="1" ht="3">
      <c r="X2" s="618">
        <v>3</v>
      </c>
    </row>
    <row customHeight="1" ht="78.75">
      <c r="D3" s="235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52"/>
      <c r="F3" s="2353"/>
      <c r="X3" s="618">
        <v>75</v>
      </c>
    </row>
    <row s="8273" customFormat="1" customHeight="1" ht="21">
      <c r="A4" s="1064"/>
      <c r="B4" s="624"/>
      <c r="D4" s="2327" t="str">
        <f>IF(org=0,"Не определено",org)</f>
        <v>МУП ЖКХ "Родник"</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192</v>
      </c>
      <c r="J6" s="1135"/>
      <c r="X6" s="618">
        <v>1</v>
      </c>
    </row>
    <row customHeight="1" ht="11.549999999999999">
      <c r="D7" s="824"/>
      <c r="E7" s="2480" t="s">
        <v>183</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693</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694</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8273" customFormat="1" customHeight="1" ht="11.549999999999999">
      <c r="A10" s="1134"/>
      <c r="B10" s="624"/>
      <c r="D10" s="2214" t="s">
        <v>428</v>
      </c>
      <c r="E10" s="2215"/>
      <c r="F10" s="2215"/>
      <c r="G10" s="2215"/>
      <c r="H10" s="2215"/>
      <c r="I10" s="2215"/>
      <c r="J10" s="2216"/>
      <c r="K10" s="2312"/>
      <c r="L10" s="622"/>
      <c r="X10" s="871">
        <v>11</v>
      </c>
    </row>
    <row s="8273" customFormat="1" customHeight="1" ht="24">
      <c r="A11" s="2498"/>
      <c r="B11" s="2498"/>
      <c r="C11" s="770"/>
      <c r="D11" s="816" t="s">
        <v>88</v>
      </c>
      <c r="E11" s="818" t="s">
        <v>935</v>
      </c>
      <c r="F11" s="818" t="s">
        <v>695</v>
      </c>
      <c r="G11" s="578" t="s">
        <v>431</v>
      </c>
      <c r="H11" s="578" t="s">
        <v>518</v>
      </c>
      <c r="I11" s="920" t="s">
        <v>431</v>
      </c>
      <c r="J11" s="921" t="s">
        <v>518</v>
      </c>
      <c r="K11" s="2345"/>
      <c r="L11" s="771"/>
      <c r="X11" s="622">
        <v>23</v>
      </c>
    </row>
    <row s="8355" customFormat="1" customHeight="1" ht="10.5">
      <c r="A12" s="1065"/>
      <c r="D12" s="1138" t="s">
        <v>187</v>
      </c>
      <c r="E12" s="1138" t="s">
        <v>104</v>
      </c>
      <c r="F12" s="1138" t="s">
        <v>90</v>
      </c>
      <c r="G12" s="1139" t="str">
        <f>G1&amp;".1"</f>
        <v>4.1</v>
      </c>
      <c r="H12" s="1139" t="str">
        <f>G1&amp;".2"</f>
        <v>4.2</v>
      </c>
      <c r="I12" s="1139" t="str">
        <f>I1&amp;".1"</f>
        <v>4.1</v>
      </c>
      <c r="J12" s="1139" t="str">
        <f>I1&amp;".2"</f>
        <v>4.2</v>
      </c>
      <c r="K12" s="1139"/>
      <c r="X12" s="624">
        <v>10</v>
      </c>
    </row>
    <row customHeight="1" ht="22.5" hidden="1">
      <c r="A13" s="2505" t="s">
        <v>936</v>
      </c>
      <c r="D13" s="1066" t="s">
        <v>187</v>
      </c>
      <c r="E13" s="392" t="s">
        <v>937</v>
      </c>
      <c r="F13" s="773" t="s">
        <v>938</v>
      </c>
      <c r="G13" s="670"/>
      <c r="H13" s="774"/>
      <c r="I13" s="670"/>
      <c r="J13" s="774"/>
      <c r="K13" s="402" t="s">
        <v>939</v>
      </c>
      <c r="L13" s="833"/>
      <c r="X13" s="618">
        <v>0</v>
      </c>
    </row>
    <row customHeight="1" ht="22.5" hidden="1">
      <c r="A14" s="2505"/>
      <c r="D14" s="652" t="s">
        <v>104</v>
      </c>
      <c r="E14" s="392" t="s">
        <v>940</v>
      </c>
      <c r="F14" s="773" t="s">
        <v>941</v>
      </c>
      <c r="G14" s="670"/>
      <c r="H14" s="775"/>
      <c r="I14" s="670"/>
      <c r="J14" s="775"/>
      <c r="K14" s="402" t="s">
        <v>942</v>
      </c>
      <c r="L14" s="833"/>
      <c r="X14" s="618">
        <v>0</v>
      </c>
    </row>
    <row s="8273" customFormat="1" customHeight="1" ht="78.75" hidden="1">
      <c r="A15" s="2505"/>
      <c r="B15" s="624"/>
      <c r="D15" s="1066" t="s">
        <v>90</v>
      </c>
      <c r="E15" s="820" t="s">
        <v>943</v>
      </c>
      <c r="F15" s="1063" t="s">
        <v>434</v>
      </c>
      <c r="G15" s="1063" t="s">
        <v>434</v>
      </c>
      <c r="H15" s="219"/>
      <c r="I15" s="1063" t="s">
        <v>434</v>
      </c>
      <c r="J15" s="219"/>
      <c r="K15" s="402" t="s">
        <v>944</v>
      </c>
      <c r="L15" s="833"/>
      <c r="X15" s="871">
        <v>0</v>
      </c>
    </row>
    <row s="8273" customFormat="1" customHeight="1" ht="22.5" hidden="1">
      <c r="A16" s="2505"/>
      <c r="B16" s="624"/>
      <c r="D16" s="1066" t="s">
        <v>452</v>
      </c>
      <c r="E16" s="1067" t="s">
        <v>945</v>
      </c>
      <c r="F16" s="1063" t="s">
        <v>946</v>
      </c>
      <c r="G16" s="930"/>
      <c r="H16" s="219"/>
      <c r="I16" s="930"/>
      <c r="J16" s="219"/>
      <c r="K16" s="402"/>
      <c r="L16" s="833"/>
      <c r="X16" s="871">
        <v>0</v>
      </c>
    </row>
    <row s="8273" customFormat="1" customHeight="1" ht="22.5" hidden="1">
      <c r="A17" s="2505"/>
      <c r="B17" s="624"/>
      <c r="D17" s="1066" t="s">
        <v>460</v>
      </c>
      <c r="E17" s="1067" t="s">
        <v>947</v>
      </c>
      <c r="F17" s="1063" t="s">
        <v>948</v>
      </c>
      <c r="G17" s="930"/>
      <c r="H17" s="219"/>
      <c r="I17" s="930"/>
      <c r="J17" s="219"/>
      <c r="K17" s="402"/>
      <c r="L17" s="833"/>
      <c r="X17" s="871">
        <v>0</v>
      </c>
    </row>
    <row s="8273" customFormat="1" customHeight="1" ht="33.75" hidden="1">
      <c r="A18" s="2505"/>
      <c r="B18" s="624"/>
      <c r="D18" s="1066" t="s">
        <v>462</v>
      </c>
      <c r="E18" s="1067" t="s">
        <v>949</v>
      </c>
      <c r="F18" s="1063" t="s">
        <v>700</v>
      </c>
      <c r="G18" s="793"/>
      <c r="H18" s="219"/>
      <c r="I18" s="793"/>
      <c r="J18" s="219"/>
      <c r="K18" s="402"/>
      <c r="L18" s="833"/>
      <c r="X18" s="871">
        <v>0</v>
      </c>
    </row>
    <row customHeight="1" ht="101.25" hidden="1">
      <c r="A19" s="2505"/>
      <c r="D19" s="1066" t="s">
        <v>91</v>
      </c>
      <c r="E19" s="392" t="s">
        <v>950</v>
      </c>
      <c r="F19" s="773" t="s">
        <v>675</v>
      </c>
      <c r="G19" s="776"/>
      <c r="H19" s="775"/>
      <c r="I19" s="1068"/>
      <c r="J19" s="775"/>
      <c r="K19" s="402" t="s">
        <v>951</v>
      </c>
      <c r="L19" s="833"/>
      <c r="X19" s="618">
        <v>0</v>
      </c>
    </row>
    <row s="8273" customFormat="1" customHeight="1" ht="18.75" hidden="1">
      <c r="A20" s="2505"/>
      <c r="C20" s="1069"/>
      <c r="D20" s="1066" t="s">
        <v>882</v>
      </c>
      <c r="E20" s="1067" t="s">
        <v>952</v>
      </c>
      <c r="F20" s="1063" t="s">
        <v>434</v>
      </c>
      <c r="G20" s="1063" t="s">
        <v>434</v>
      </c>
      <c r="H20" s="1062" t="s">
        <v>434</v>
      </c>
      <c r="I20" s="1063" t="s">
        <v>434</v>
      </c>
      <c r="J20" s="1062" t="s">
        <v>434</v>
      </c>
      <c r="K20" s="1061"/>
      <c r="L20" s="833"/>
      <c r="W20" s="788"/>
      <c r="X20" s="871">
        <v>0</v>
      </c>
    </row>
    <row s="8273" customFormat="1" customHeight="1" ht="33.75" hidden="1">
      <c r="A21" s="2505"/>
      <c r="C21" s="1069"/>
      <c r="D21" s="1066" t="s">
        <v>885</v>
      </c>
      <c r="E21" s="689" t="s">
        <v>953</v>
      </c>
      <c r="F21" s="1063" t="s">
        <v>954</v>
      </c>
      <c r="G21" s="793"/>
      <c r="H21" s="219"/>
      <c r="I21" s="793"/>
      <c r="J21" s="219"/>
      <c r="K21" s="1061"/>
      <c r="L21" s="833"/>
      <c r="W21" s="788"/>
      <c r="X21" s="871">
        <v>0</v>
      </c>
    </row>
    <row s="8273" customFormat="1" customHeight="1" ht="33.75" hidden="1">
      <c r="A22" s="2505"/>
      <c r="C22" s="1069"/>
      <c r="D22" s="1066" t="s">
        <v>888</v>
      </c>
      <c r="E22" s="689" t="s">
        <v>955</v>
      </c>
      <c r="F22" s="1063" t="s">
        <v>956</v>
      </c>
      <c r="G22" s="793"/>
      <c r="H22" s="219"/>
      <c r="I22" s="793"/>
      <c r="J22" s="219"/>
      <c r="K22" s="1061"/>
      <c r="L22" s="833"/>
      <c r="W22" s="788"/>
      <c r="X22" s="871">
        <v>0</v>
      </c>
    </row>
    <row s="8273" customFormat="1" customHeight="1" ht="22.5" hidden="1">
      <c r="A23" s="2505"/>
      <c r="C23" s="1069"/>
      <c r="D23" s="1066" t="s">
        <v>924</v>
      </c>
      <c r="E23" s="1067" t="s">
        <v>957</v>
      </c>
      <c r="F23" s="1063" t="s">
        <v>434</v>
      </c>
      <c r="G23" s="1063" t="s">
        <v>434</v>
      </c>
      <c r="H23" s="1062" t="s">
        <v>434</v>
      </c>
      <c r="I23" s="1063" t="s">
        <v>434</v>
      </c>
      <c r="J23" s="1062" t="s">
        <v>434</v>
      </c>
      <c r="K23" s="1061"/>
      <c r="L23" s="833"/>
      <c r="W23" s="788"/>
      <c r="X23" s="871">
        <v>0</v>
      </c>
    </row>
    <row s="8273" customFormat="1" customHeight="1" ht="22.5" hidden="1">
      <c r="A24" s="2505"/>
      <c r="C24" s="1069"/>
      <c r="D24" s="1066" t="s">
        <v>958</v>
      </c>
      <c r="E24" s="689" t="s">
        <v>959</v>
      </c>
      <c r="F24" s="1063" t="s">
        <v>960</v>
      </c>
      <c r="G24" s="793"/>
      <c r="H24" s="799"/>
      <c r="I24" s="793"/>
      <c r="J24" s="799"/>
      <c r="K24" s="1061"/>
      <c r="L24" s="833"/>
      <c r="W24" s="788"/>
      <c r="X24" s="871">
        <v>0</v>
      </c>
    </row>
    <row s="8273" customFormat="1" customHeight="1" ht="22.5" hidden="1">
      <c r="A25" s="2505"/>
      <c r="C25" s="1069"/>
      <c r="D25" s="1066" t="s">
        <v>961</v>
      </c>
      <c r="E25" s="689" t="s">
        <v>962</v>
      </c>
      <c r="F25" s="1063" t="s">
        <v>434</v>
      </c>
      <c r="G25" s="1063" t="s">
        <v>434</v>
      </c>
      <c r="H25" s="1062" t="s">
        <v>434</v>
      </c>
      <c r="I25" s="1063" t="s">
        <v>434</v>
      </c>
      <c r="J25" s="1062" t="s">
        <v>434</v>
      </c>
      <c r="K25" s="1061"/>
      <c r="L25" s="833"/>
      <c r="W25" s="788"/>
      <c r="X25" s="871">
        <v>0</v>
      </c>
    </row>
    <row s="8273" customFormat="1" customHeight="1" ht="18.75" hidden="1">
      <c r="A26" s="2505"/>
      <c r="C26" s="1069"/>
      <c r="D26" s="1066" t="s">
        <v>963</v>
      </c>
      <c r="E26" s="666" t="s">
        <v>964</v>
      </c>
      <c r="F26" s="1063" t="s">
        <v>965</v>
      </c>
      <c r="G26" s="793"/>
      <c r="H26" s="799"/>
      <c r="I26" s="793"/>
      <c r="J26" s="799"/>
      <c r="K26" s="1061"/>
      <c r="L26" s="833"/>
      <c r="W26" s="788"/>
      <c r="X26" s="871">
        <v>0</v>
      </c>
    </row>
    <row s="8273" customFormat="1" customHeight="1" ht="18.75" hidden="1">
      <c r="A27" s="2505"/>
      <c r="C27" s="1069"/>
      <c r="D27" s="1066" t="s">
        <v>966</v>
      </c>
      <c r="E27" s="666" t="s">
        <v>967</v>
      </c>
      <c r="F27" s="1063" t="s">
        <v>968</v>
      </c>
      <c r="G27" s="793"/>
      <c r="H27" s="799"/>
      <c r="I27" s="793"/>
      <c r="J27" s="799"/>
      <c r="K27" s="1061"/>
      <c r="L27" s="833"/>
      <c r="W27" s="788"/>
      <c r="X27" s="871">
        <v>0</v>
      </c>
    </row>
    <row s="8273" customFormat="1" customHeight="1" ht="18.75" hidden="1">
      <c r="A28" s="2505"/>
      <c r="C28" s="1069"/>
      <c r="D28" s="1066" t="s">
        <v>969</v>
      </c>
      <c r="E28" s="689" t="s">
        <v>970</v>
      </c>
      <c r="F28" s="1063" t="s">
        <v>434</v>
      </c>
      <c r="G28" s="1063" t="s">
        <v>434</v>
      </c>
      <c r="H28" s="1062" t="s">
        <v>434</v>
      </c>
      <c r="I28" s="1063" t="s">
        <v>434</v>
      </c>
      <c r="J28" s="1062" t="s">
        <v>434</v>
      </c>
      <c r="K28" s="1061"/>
      <c r="L28" s="833"/>
      <c r="W28" s="788"/>
      <c r="X28" s="871">
        <v>0</v>
      </c>
    </row>
    <row s="8273" customFormat="1" customHeight="1" ht="18.75" hidden="1">
      <c r="A29" s="2505"/>
      <c r="C29" s="1069"/>
      <c r="D29" s="1066" t="s">
        <v>971</v>
      </c>
      <c r="E29" s="666" t="s">
        <v>964</v>
      </c>
      <c r="F29" s="1063" t="s">
        <v>972</v>
      </c>
      <c r="G29" s="793"/>
      <c r="H29" s="799"/>
      <c r="I29" s="793"/>
      <c r="J29" s="799"/>
      <c r="K29" s="1061"/>
      <c r="L29" s="833"/>
      <c r="W29" s="788"/>
      <c r="X29" s="871">
        <v>0</v>
      </c>
    </row>
    <row s="8273" customFormat="1" customHeight="1" ht="18.75" hidden="1">
      <c r="A30" s="2505"/>
      <c r="C30" s="1069"/>
      <c r="D30" s="1066" t="s">
        <v>973</v>
      </c>
      <c r="E30" s="666" t="s">
        <v>974</v>
      </c>
      <c r="F30" s="1063" t="s">
        <v>975</v>
      </c>
      <c r="G30" s="793"/>
      <c r="H30" s="799"/>
      <c r="I30" s="793"/>
      <c r="J30" s="799"/>
      <c r="K30" s="1061"/>
      <c r="L30" s="833"/>
      <c r="W30" s="788"/>
      <c r="X30" s="871">
        <v>0</v>
      </c>
    </row>
    <row customHeight="1" ht="126.75" hidden="1">
      <c r="A31" s="2505"/>
      <c r="D31" s="1066" t="s">
        <v>118</v>
      </c>
      <c r="E31" s="392" t="s">
        <v>976</v>
      </c>
      <c r="F31" s="773" t="s">
        <v>687</v>
      </c>
      <c r="G31" s="670"/>
      <c r="H31" s="775"/>
      <c r="I31" s="670"/>
      <c r="J31" s="775"/>
      <c r="K31" s="402" t="s">
        <v>977</v>
      </c>
      <c r="L31" s="833"/>
      <c r="X31" s="618">
        <v>0</v>
      </c>
    </row>
    <row customHeight="1" ht="56.25" hidden="1">
      <c r="A32" s="2505"/>
      <c r="D32" s="1066" t="s">
        <v>92</v>
      </c>
      <c r="E32" s="392" t="s">
        <v>978</v>
      </c>
      <c r="F32" s="652" t="s">
        <v>948</v>
      </c>
      <c r="G32" s="670"/>
      <c r="H32" s="775"/>
      <c r="I32" s="670"/>
      <c r="J32" s="775"/>
      <c r="K32" s="402" t="s">
        <v>979</v>
      </c>
      <c r="L32" s="833"/>
      <c r="X32" s="618">
        <v>0</v>
      </c>
    </row>
    <row customHeight="1" ht="11.25" hidden="1">
      <c r="A33" s="2505"/>
      <c r="E33" s="777"/>
      <c r="F33" s="294"/>
      <c r="G33" s="294"/>
      <c r="H33" s="294"/>
      <c r="I33" s="294"/>
      <c r="J33" s="294"/>
      <c r="K33" s="294"/>
      <c r="X33" s="618">
        <v>0</v>
      </c>
    </row>
    <row customHeight="1" ht="12.75" hidden="1">
      <c r="A34" s="2505"/>
      <c r="D34" s="178">
        <v>1</v>
      </c>
      <c r="E34" s="448" t="s">
        <v>980</v>
      </c>
      <c r="X34" s="618">
        <v>0</v>
      </c>
    </row>
    <row customHeight="1" ht="11.25" hidden="1">
      <c r="A35" s="2505"/>
      <c r="D35" s="482"/>
      <c r="E35" s="448" t="s">
        <v>981</v>
      </c>
      <c r="X35" s="618">
        <v>0</v>
      </c>
    </row>
    <row s="8273" customFormat="1" customHeight="1" ht="11.549999999999999">
      <c r="A36" s="1146"/>
      <c r="B36" s="631"/>
      <c r="D36" s="1147"/>
      <c r="E36" s="1148"/>
      <c r="X36" s="622">
        <v>11</v>
      </c>
    </row>
    <row s="8273" customFormat="1" customHeight="1" ht="22.5">
      <c r="A37" s="2505" t="s">
        <v>982</v>
      </c>
      <c r="B37" s="624"/>
      <c r="D37" s="1066">
        <v>1</v>
      </c>
      <c r="E37" s="820" t="s">
        <v>983</v>
      </c>
      <c r="F37" s="773" t="s">
        <v>938</v>
      </c>
      <c r="G37" s="670"/>
      <c r="H37" s="632"/>
      <c r="I37" s="670"/>
      <c r="J37" s="632"/>
      <c r="K37" s="402" t="s">
        <v>984</v>
      </c>
      <c r="X37" s="871">
        <v>0</v>
      </c>
    </row>
    <row s="8273" customFormat="1" customHeight="1" ht="22.5">
      <c r="A38" s="2505"/>
      <c r="B38" s="624"/>
      <c r="D38" s="782" t="s">
        <v>104</v>
      </c>
      <c r="E38" s="1145" t="s">
        <v>985</v>
      </c>
      <c r="F38" s="1149" t="s">
        <v>675</v>
      </c>
      <c r="G38" s="1149" t="s">
        <v>675</v>
      </c>
      <c r="H38" s="1143"/>
      <c r="I38" s="1149" t="s">
        <v>675</v>
      </c>
      <c r="J38" s="1143"/>
      <c r="K38" s="1144"/>
      <c r="X38" s="871">
        <v>0</v>
      </c>
    </row>
    <row s="8273" customFormat="1" customHeight="1" ht="33.75">
      <c r="A39" s="2505"/>
      <c r="B39" s="624"/>
      <c r="D39" s="778" t="s">
        <v>840</v>
      </c>
      <c r="E39" s="836" t="s">
        <v>986</v>
      </c>
      <c r="F39" s="773" t="s">
        <v>987</v>
      </c>
      <c r="G39" s="781"/>
      <c r="H39" s="1136"/>
      <c r="I39" s="781"/>
      <c r="J39" s="1136"/>
      <c r="K39" s="402" t="s">
        <v>988</v>
      </c>
      <c r="X39" s="871">
        <v>0</v>
      </c>
    </row>
    <row s="8273" customFormat="1" customHeight="1" ht="33.75">
      <c r="A40" s="2505"/>
      <c r="B40" s="624"/>
      <c r="D40" s="778" t="s">
        <v>843</v>
      </c>
      <c r="E40" s="836" t="s">
        <v>989</v>
      </c>
      <c r="F40" s="1140" t="s">
        <v>990</v>
      </c>
      <c r="G40" s="854"/>
      <c r="H40" s="1136"/>
      <c r="I40" s="854"/>
      <c r="J40" s="1136"/>
      <c r="K40" s="402" t="s">
        <v>991</v>
      </c>
      <c r="X40" s="871">
        <v>0</v>
      </c>
    </row>
    <row s="8273" customFormat="1" customHeight="1" ht="22.5">
      <c r="A41" s="2505"/>
      <c r="B41" s="624"/>
      <c r="D41" s="778" t="s">
        <v>90</v>
      </c>
      <c r="E41" s="835" t="s">
        <v>992</v>
      </c>
      <c r="F41" s="773" t="s">
        <v>675</v>
      </c>
      <c r="G41" s="773" t="s">
        <v>675</v>
      </c>
      <c r="H41" s="1137"/>
      <c r="I41" s="773" t="s">
        <v>675</v>
      </c>
      <c r="J41" s="1137"/>
      <c r="K41" s="415"/>
      <c r="X41" s="871">
        <v>0</v>
      </c>
    </row>
    <row s="8273" customFormat="1" customHeight="1" ht="45">
      <c r="A42" s="2505"/>
      <c r="B42" s="624"/>
      <c r="D42" s="778" t="s">
        <v>452</v>
      </c>
      <c r="E42" s="836" t="s">
        <v>993</v>
      </c>
      <c r="F42" s="773" t="s">
        <v>687</v>
      </c>
      <c r="G42" s="670"/>
      <c r="H42" s="1137"/>
      <c r="I42" s="670"/>
      <c r="J42" s="1137"/>
      <c r="K42" s="415" t="s">
        <v>994</v>
      </c>
      <c r="X42" s="871">
        <v>0</v>
      </c>
    </row>
    <row s="8273" customFormat="1" customHeight="1" ht="45">
      <c r="A43" s="2505"/>
      <c r="B43" s="624"/>
      <c r="D43" s="778" t="s">
        <v>460</v>
      </c>
      <c r="E43" s="780" t="s">
        <v>995</v>
      </c>
      <c r="F43" s="1141" t="s">
        <v>687</v>
      </c>
      <c r="G43" s="855"/>
      <c r="H43" s="1136"/>
      <c r="I43" s="855"/>
      <c r="J43" s="1136"/>
      <c r="K43" s="415" t="s">
        <v>996</v>
      </c>
      <c r="X43" s="871">
        <v>0</v>
      </c>
    </row>
    <row s="8273" customFormat="1" customHeight="1" ht="11.25">
      <c r="A44" s="2505"/>
      <c r="B44" s="624"/>
      <c r="D44" s="778" t="s">
        <v>91</v>
      </c>
      <c r="E44" s="779" t="s">
        <v>997</v>
      </c>
      <c r="F44" s="773" t="s">
        <v>987</v>
      </c>
      <c r="G44" s="781"/>
      <c r="H44" s="1136"/>
      <c r="I44" s="781"/>
      <c r="J44" s="1136"/>
      <c r="K44" s="402"/>
      <c r="X44" s="871">
        <v>0</v>
      </c>
    </row>
    <row s="8273" customFormat="1" customHeight="1" ht="11.25">
      <c r="A45" s="2505"/>
      <c r="B45" s="624"/>
      <c r="D45" s="778" t="s">
        <v>882</v>
      </c>
      <c r="E45" s="780" t="s">
        <v>998</v>
      </c>
      <c r="F45" s="773" t="s">
        <v>987</v>
      </c>
      <c r="G45" s="781"/>
      <c r="H45" s="1136"/>
      <c r="I45" s="781"/>
      <c r="J45" s="1136"/>
      <c r="K45" s="402"/>
      <c r="X45" s="871">
        <v>0</v>
      </c>
    </row>
    <row s="8273" customFormat="1" customHeight="1" ht="11.25">
      <c r="A46" s="2505"/>
      <c r="B46" s="624"/>
      <c r="D46" s="778" t="s">
        <v>924</v>
      </c>
      <c r="E46" s="780" t="s">
        <v>999</v>
      </c>
      <c r="F46" s="773" t="s">
        <v>987</v>
      </c>
      <c r="G46" s="781"/>
      <c r="H46" s="1136"/>
      <c r="I46" s="781"/>
      <c r="J46" s="1136"/>
      <c r="K46" s="402"/>
      <c r="X46" s="871">
        <v>0</v>
      </c>
    </row>
    <row s="8273" customFormat="1" customHeight="1" ht="11.25">
      <c r="A47" s="2505"/>
      <c r="B47" s="624"/>
      <c r="D47" s="778" t="s">
        <v>927</v>
      </c>
      <c r="E47" s="780" t="s">
        <v>1000</v>
      </c>
      <c r="F47" s="773" t="s">
        <v>987</v>
      </c>
      <c r="G47" s="781"/>
      <c r="H47" s="1136"/>
      <c r="I47" s="781"/>
      <c r="J47" s="1136"/>
      <c r="K47" s="402"/>
      <c r="X47" s="871">
        <v>0</v>
      </c>
    </row>
    <row s="8273" customFormat="1" customHeight="1" ht="11.25">
      <c r="A48" s="2505"/>
      <c r="B48" s="624"/>
      <c r="D48" s="778" t="s">
        <v>1001</v>
      </c>
      <c r="E48" s="784" t="s">
        <v>1002</v>
      </c>
      <c r="F48" s="773" t="s">
        <v>987</v>
      </c>
      <c r="G48" s="781"/>
      <c r="H48" s="1136"/>
      <c r="I48" s="781"/>
      <c r="J48" s="1136"/>
      <c r="K48" s="402"/>
      <c r="X48" s="871">
        <v>0</v>
      </c>
    </row>
    <row s="8273" customFormat="1" customHeight="1" ht="11.25">
      <c r="A49" s="2505"/>
      <c r="B49" s="624"/>
      <c r="D49" s="778" t="s">
        <v>1003</v>
      </c>
      <c r="E49" s="784" t="s">
        <v>1004</v>
      </c>
      <c r="F49" s="773" t="s">
        <v>987</v>
      </c>
      <c r="G49" s="781"/>
      <c r="H49" s="1136"/>
      <c r="I49" s="781"/>
      <c r="J49" s="1136"/>
      <c r="K49" s="402"/>
      <c r="X49" s="871">
        <v>0</v>
      </c>
    </row>
    <row s="8273" customFormat="1" customHeight="1" ht="11.25">
      <c r="A50" s="2505"/>
      <c r="B50" s="624"/>
      <c r="D50" s="778" t="s">
        <v>1005</v>
      </c>
      <c r="E50" s="780" t="s">
        <v>1006</v>
      </c>
      <c r="F50" s="773" t="s">
        <v>987</v>
      </c>
      <c r="G50" s="781"/>
      <c r="H50" s="1136"/>
      <c r="I50" s="781"/>
      <c r="J50" s="1136"/>
      <c r="K50" s="402"/>
      <c r="X50" s="871">
        <v>0</v>
      </c>
    </row>
    <row s="8273" customFormat="1" customHeight="1" ht="11.25">
      <c r="A51" s="2505"/>
      <c r="B51" s="624"/>
      <c r="D51" s="778" t="s">
        <v>1007</v>
      </c>
      <c r="E51" s="780" t="s">
        <v>1008</v>
      </c>
      <c r="F51" s="773" t="s">
        <v>987</v>
      </c>
      <c r="G51" s="781"/>
      <c r="H51" s="1136"/>
      <c r="I51" s="781"/>
      <c r="J51" s="1136"/>
      <c r="K51" s="402"/>
      <c r="X51" s="871">
        <v>0</v>
      </c>
    </row>
    <row s="8273" customFormat="1" customHeight="1" ht="45">
      <c r="A52" s="2505"/>
      <c r="B52" s="624"/>
      <c r="D52" s="778" t="s">
        <v>118</v>
      </c>
      <c r="E52" s="779" t="s">
        <v>1009</v>
      </c>
      <c r="F52" s="773" t="s">
        <v>987</v>
      </c>
      <c r="G52" s="781"/>
      <c r="H52" s="1136"/>
      <c r="I52" s="781"/>
      <c r="J52" s="1136"/>
      <c r="K52" s="402"/>
      <c r="X52" s="871">
        <v>0</v>
      </c>
    </row>
    <row s="8273" customFormat="1" customHeight="1" ht="11.25">
      <c r="A53" s="2505"/>
      <c r="B53" s="624"/>
      <c r="D53" s="778" t="s">
        <v>441</v>
      </c>
      <c r="E53" s="780" t="s">
        <v>998</v>
      </c>
      <c r="F53" s="773" t="s">
        <v>987</v>
      </c>
      <c r="G53" s="781"/>
      <c r="H53" s="1136"/>
      <c r="I53" s="781"/>
      <c r="J53" s="1136"/>
      <c r="K53" s="402"/>
      <c r="X53" s="871">
        <v>0</v>
      </c>
    </row>
    <row s="8273" customFormat="1" customHeight="1" ht="11.25">
      <c r="A54" s="2505"/>
      <c r="B54" s="624"/>
      <c r="D54" s="778" t="s">
        <v>1010</v>
      </c>
      <c r="E54" s="780" t="s">
        <v>999</v>
      </c>
      <c r="F54" s="773" t="s">
        <v>987</v>
      </c>
      <c r="G54" s="781"/>
      <c r="H54" s="1136"/>
      <c r="I54" s="781"/>
      <c r="J54" s="1136"/>
      <c r="K54" s="402"/>
      <c r="X54" s="871">
        <v>0</v>
      </c>
    </row>
    <row s="8273" customFormat="1" customHeight="1" ht="11.25">
      <c r="A55" s="2505"/>
      <c r="B55" s="624"/>
      <c r="D55" s="778" t="s">
        <v>1011</v>
      </c>
      <c r="E55" s="780" t="s">
        <v>1000</v>
      </c>
      <c r="F55" s="773" t="s">
        <v>987</v>
      </c>
      <c r="G55" s="781"/>
      <c r="H55" s="1136"/>
      <c r="I55" s="781"/>
      <c r="J55" s="1136"/>
      <c r="K55" s="402"/>
      <c r="X55" s="871">
        <v>0</v>
      </c>
    </row>
    <row s="8273" customFormat="1" customHeight="1" ht="11.25">
      <c r="A56" s="2505"/>
      <c r="B56" s="624"/>
      <c r="D56" s="778" t="s">
        <v>1012</v>
      </c>
      <c r="E56" s="784" t="s">
        <v>1002</v>
      </c>
      <c r="F56" s="773" t="s">
        <v>987</v>
      </c>
      <c r="G56" s="781"/>
      <c r="H56" s="1136"/>
      <c r="I56" s="781"/>
      <c r="J56" s="1136"/>
      <c r="K56" s="402"/>
      <c r="X56" s="871">
        <v>0</v>
      </c>
    </row>
    <row s="8273" customFormat="1" customHeight="1" ht="11.25">
      <c r="A57" s="2505"/>
      <c r="B57" s="624"/>
      <c r="D57" s="778" t="s">
        <v>1013</v>
      </c>
      <c r="E57" s="784" t="s">
        <v>1004</v>
      </c>
      <c r="F57" s="773" t="s">
        <v>987</v>
      </c>
      <c r="G57" s="781"/>
      <c r="H57" s="1136"/>
      <c r="I57" s="781"/>
      <c r="J57" s="1136"/>
      <c r="K57" s="402"/>
      <c r="X57" s="871">
        <v>0</v>
      </c>
    </row>
    <row s="8273" customFormat="1" customHeight="1" ht="11.25">
      <c r="A58" s="2505"/>
      <c r="B58" s="624"/>
      <c r="D58" s="778" t="s">
        <v>1014</v>
      </c>
      <c r="E58" s="780" t="s">
        <v>1006</v>
      </c>
      <c r="F58" s="773" t="s">
        <v>987</v>
      </c>
      <c r="G58" s="781"/>
      <c r="H58" s="1136"/>
      <c r="I58" s="781"/>
      <c r="J58" s="1136"/>
      <c r="K58" s="402"/>
      <c r="X58" s="871">
        <v>0</v>
      </c>
    </row>
    <row s="8273" customFormat="1" customHeight="1" ht="11.25">
      <c r="A59" s="2505"/>
      <c r="B59" s="624"/>
      <c r="D59" s="778" t="s">
        <v>1015</v>
      </c>
      <c r="E59" s="780" t="s">
        <v>1008</v>
      </c>
      <c r="F59" s="773" t="s">
        <v>987</v>
      </c>
      <c r="G59" s="781"/>
      <c r="H59" s="1136"/>
      <c r="I59" s="781"/>
      <c r="J59" s="1136"/>
      <c r="K59" s="402"/>
      <c r="X59" s="871">
        <v>0</v>
      </c>
    </row>
    <row s="8273" customFormat="1" customHeight="1" ht="33.75">
      <c r="A60" s="2505"/>
      <c r="B60" s="624"/>
      <c r="D60" s="778" t="s">
        <v>92</v>
      </c>
      <c r="E60" s="779" t="s">
        <v>1016</v>
      </c>
      <c r="F60" s="834" t="s">
        <v>687</v>
      </c>
      <c r="G60" s="855"/>
      <c r="H60" s="1136"/>
      <c r="I60" s="855"/>
      <c r="J60" s="1136"/>
      <c r="K60" s="415" t="s">
        <v>1017</v>
      </c>
      <c r="X60" s="871">
        <v>0</v>
      </c>
    </row>
    <row s="8273" customFormat="1" customHeight="1" ht="33.75">
      <c r="A61" s="2505"/>
      <c r="B61" s="624"/>
      <c r="D61" s="778" t="s">
        <v>93</v>
      </c>
      <c r="E61" s="779" t="s">
        <v>1018</v>
      </c>
      <c r="F61" s="839" t="s">
        <v>948</v>
      </c>
      <c r="G61" s="781"/>
      <c r="H61" s="1136"/>
      <c r="I61" s="781"/>
      <c r="J61" s="1136"/>
      <c r="K61" s="402"/>
      <c r="X61" s="871">
        <v>0</v>
      </c>
    </row>
    <row s="8273" customFormat="1" customHeight="1" ht="22.5">
      <c r="A62" s="2505"/>
      <c r="B62" s="624" t="s">
        <v>717</v>
      </c>
      <c r="D62" s="778" t="s">
        <v>131</v>
      </c>
      <c r="E62" s="779" t="s">
        <v>1019</v>
      </c>
      <c r="F62" s="839" t="s">
        <v>434</v>
      </c>
      <c r="G62" s="495"/>
      <c r="H62" s="1136"/>
      <c r="I62" s="495"/>
      <c r="J62" s="1136"/>
      <c r="K62" s="402" t="s">
        <v>760</v>
      </c>
      <c r="X62" s="871">
        <v>0</v>
      </c>
    </row>
    <row s="8273" customFormat="1" customHeight="1" ht="45">
      <c r="A63" s="2505"/>
      <c r="B63" s="624" t="s">
        <v>717</v>
      </c>
      <c r="D63" s="778" t="s">
        <v>1020</v>
      </c>
      <c r="E63" s="780" t="s">
        <v>1021</v>
      </c>
      <c r="F63" s="834" t="s">
        <v>434</v>
      </c>
      <c r="G63" s="495"/>
      <c r="H63" s="1136"/>
      <c r="I63" s="495"/>
      <c r="J63" s="1136"/>
      <c r="K63" s="402" t="s">
        <v>760</v>
      </c>
      <c r="X63" s="871">
        <v>0</v>
      </c>
    </row>
    <row s="8273" customFormat="1" customHeight="1" ht="11.549999999999999">
      <c r="A64" s="1146"/>
      <c r="B64" s="631"/>
      <c r="D64" s="1147"/>
      <c r="E64" s="1148"/>
      <c r="X64" s="622">
        <v>11</v>
      </c>
    </row>
    <row s="8273" customFormat="1" customHeight="1" ht="22.5" hidden="1">
      <c r="A65" s="2505" t="s">
        <v>1022</v>
      </c>
      <c r="B65" s="624"/>
      <c r="D65" s="778">
        <v>1</v>
      </c>
      <c r="E65" s="857" t="s">
        <v>1023</v>
      </c>
      <c r="F65" s="853" t="s">
        <v>938</v>
      </c>
      <c r="G65" s="854"/>
      <c r="H65" s="1142"/>
      <c r="I65" s="854"/>
      <c r="J65" s="1142"/>
      <c r="K65" s="414" t="s">
        <v>1024</v>
      </c>
      <c r="X65" s="871">
        <v>0</v>
      </c>
    </row>
    <row s="8273" customFormat="1" customHeight="1" ht="56.25" hidden="1">
      <c r="A66" s="2505"/>
      <c r="B66" s="624"/>
      <c r="D66" s="856" t="s">
        <v>104</v>
      </c>
      <c r="E66" s="820" t="s">
        <v>1025</v>
      </c>
      <c r="F66" s="773" t="s">
        <v>675</v>
      </c>
      <c r="G66" s="773" t="s">
        <v>675</v>
      </c>
      <c r="H66" s="632"/>
      <c r="I66" s="773" t="s">
        <v>675</v>
      </c>
      <c r="J66" s="632"/>
      <c r="K66" s="402"/>
      <c r="X66" s="871">
        <v>0</v>
      </c>
    </row>
    <row s="8273" customFormat="1" customHeight="1" ht="33.75" hidden="1">
      <c r="A67" s="2505"/>
      <c r="B67" s="624"/>
      <c r="D67" s="856" t="s">
        <v>837</v>
      </c>
      <c r="E67" s="1067" t="s">
        <v>1026</v>
      </c>
      <c r="F67" s="773" t="s">
        <v>990</v>
      </c>
      <c r="G67" s="840"/>
      <c r="H67" s="632"/>
      <c r="I67" s="840"/>
      <c r="J67" s="632"/>
      <c r="K67" s="402"/>
      <c r="X67" s="871">
        <v>0</v>
      </c>
    </row>
    <row s="8273" customFormat="1" customHeight="1" ht="22.5" hidden="1">
      <c r="A68" s="2505"/>
      <c r="B68" s="624"/>
      <c r="D68" s="856" t="s">
        <v>435</v>
      </c>
      <c r="E68" s="1067" t="s">
        <v>1027</v>
      </c>
      <c r="F68" s="773" t="s">
        <v>990</v>
      </c>
      <c r="G68" s="840"/>
      <c r="H68" s="632"/>
      <c r="I68" s="840"/>
      <c r="J68" s="632"/>
      <c r="K68" s="402"/>
      <c r="X68" s="871">
        <v>0</v>
      </c>
    </row>
    <row s="8273" customFormat="1" customHeight="1" ht="22.5" hidden="1">
      <c r="A69" s="2505"/>
      <c r="B69" s="624"/>
      <c r="D69" s="856" t="s">
        <v>438</v>
      </c>
      <c r="E69" s="1067" t="s">
        <v>1028</v>
      </c>
      <c r="F69" s="834" t="s">
        <v>687</v>
      </c>
      <c r="G69" s="855"/>
      <c r="H69" s="632"/>
      <c r="I69" s="855"/>
      <c r="J69" s="632"/>
      <c r="K69" s="402"/>
      <c r="X69" s="871">
        <v>0</v>
      </c>
    </row>
    <row s="8273" customFormat="1" customHeight="1" ht="22.5" hidden="1">
      <c r="A70" s="2505"/>
      <c r="B70" s="624"/>
      <c r="D70" s="856" t="s">
        <v>857</v>
      </c>
      <c r="E70" s="1067" t="s">
        <v>1029</v>
      </c>
      <c r="F70" s="834" t="s">
        <v>687</v>
      </c>
      <c r="G70" s="855"/>
      <c r="H70" s="632"/>
      <c r="I70" s="855"/>
      <c r="J70" s="632"/>
      <c r="K70" s="402"/>
      <c r="X70" s="871">
        <v>0</v>
      </c>
    </row>
    <row s="8273" customFormat="1" customHeight="1" ht="22.5" hidden="1">
      <c r="A71" s="2505"/>
      <c r="B71" s="624"/>
      <c r="D71" s="778" t="s">
        <v>90</v>
      </c>
      <c r="E71" s="779" t="s">
        <v>1030</v>
      </c>
      <c r="F71" s="773" t="s">
        <v>990</v>
      </c>
      <c r="G71" s="670"/>
      <c r="H71" s="1143"/>
      <c r="I71" s="670"/>
      <c r="J71" s="1143"/>
      <c r="K71" s="415"/>
      <c r="X71" s="871">
        <v>0</v>
      </c>
    </row>
    <row s="8273" customFormat="1" customHeight="1" ht="56.25" hidden="1">
      <c r="A72" s="2505"/>
      <c r="B72" s="624"/>
      <c r="D72" s="778" t="s">
        <v>91</v>
      </c>
      <c r="E72" s="779" t="s">
        <v>1031</v>
      </c>
      <c r="F72" s="834" t="s">
        <v>687</v>
      </c>
      <c r="G72" s="855"/>
      <c r="H72" s="1136"/>
      <c r="I72" s="855"/>
      <c r="J72" s="1136"/>
      <c r="K72" s="415"/>
      <c r="X72" s="871">
        <v>0</v>
      </c>
    </row>
    <row s="8273" customFormat="1" customHeight="1" ht="33.75" hidden="1">
      <c r="A73" s="2505"/>
      <c r="B73" s="624"/>
      <c r="D73" s="778" t="s">
        <v>118</v>
      </c>
      <c r="E73" s="779" t="s">
        <v>1032</v>
      </c>
      <c r="F73" s="839" t="s">
        <v>948</v>
      </c>
      <c r="G73" s="781"/>
      <c r="H73" s="1136"/>
      <c r="I73" s="781"/>
      <c r="J73" s="1136"/>
      <c r="K73" s="402"/>
      <c r="X73" s="871">
        <v>0</v>
      </c>
    </row>
    <row s="8273" customFormat="1" customHeight="1" ht="22.5" hidden="1">
      <c r="A74" s="2505"/>
      <c r="B74" s="624" t="s">
        <v>717</v>
      </c>
      <c r="D74" s="778" t="s">
        <v>92</v>
      </c>
      <c r="E74" s="779" t="s">
        <v>1033</v>
      </c>
      <c r="F74" s="839" t="s">
        <v>434</v>
      </c>
      <c r="G74" s="495"/>
      <c r="H74" s="1136"/>
      <c r="I74" s="495"/>
      <c r="J74" s="1136"/>
      <c r="K74" s="402" t="s">
        <v>760</v>
      </c>
      <c r="X74" s="871">
        <v>0</v>
      </c>
    </row>
    <row s="8273" customFormat="1" customHeight="1" ht="45" hidden="1">
      <c r="A75" s="2505"/>
      <c r="B75" s="624" t="s">
        <v>717</v>
      </c>
      <c r="D75" s="778" t="s">
        <v>781</v>
      </c>
      <c r="E75" s="780" t="s">
        <v>1034</v>
      </c>
      <c r="F75" s="834" t="s">
        <v>434</v>
      </c>
      <c r="G75" s="495"/>
      <c r="H75" s="1136"/>
      <c r="I75" s="495"/>
      <c r="J75" s="1136"/>
      <c r="K75" s="402" t="s">
        <v>760</v>
      </c>
      <c r="X75" s="871">
        <v>0</v>
      </c>
    </row>
    <row s="8273" customFormat="1" customHeight="1" ht="11.549999999999999">
      <c r="A76" s="1146"/>
      <c r="B76" s="631"/>
      <c r="D76" s="1147"/>
      <c r="E76" s="1148"/>
      <c r="X76" s="622">
        <v>11</v>
      </c>
    </row>
    <row s="8273" customFormat="1" customHeight="1" ht="11.25" hidden="1">
      <c r="A77" s="2505" t="s">
        <v>1035</v>
      </c>
      <c r="B77" s="624"/>
      <c r="D77" s="778">
        <v>1</v>
      </c>
      <c r="E77" s="779" t="s">
        <v>1036</v>
      </c>
      <c r="F77" s="834" t="s">
        <v>938</v>
      </c>
      <c r="G77" s="837"/>
      <c r="H77" s="1136"/>
      <c r="I77" s="837"/>
      <c r="J77" s="1136"/>
      <c r="K77" s="402" t="s">
        <v>1037</v>
      </c>
      <c r="X77" s="871">
        <v>0</v>
      </c>
    </row>
    <row s="8273" customFormat="1" customHeight="1" ht="11.25" hidden="1">
      <c r="A78" s="2505"/>
      <c r="B78" s="624"/>
      <c r="D78" s="778" t="s">
        <v>104</v>
      </c>
      <c r="E78" s="779" t="s">
        <v>1038</v>
      </c>
      <c r="F78" s="834" t="s">
        <v>938</v>
      </c>
      <c r="G78" s="837"/>
      <c r="H78" s="1136"/>
      <c r="I78" s="837"/>
      <c r="J78" s="1136"/>
      <c r="K78" s="402" t="s">
        <v>1039</v>
      </c>
      <c r="X78" s="871">
        <v>0</v>
      </c>
    </row>
    <row s="8273" customFormat="1" customHeight="1" ht="22.5" hidden="1">
      <c r="A79" s="2505"/>
      <c r="B79" s="624"/>
      <c r="D79" s="778" t="s">
        <v>90</v>
      </c>
      <c r="E79" s="835" t="s">
        <v>1040</v>
      </c>
      <c r="F79" s="773" t="s">
        <v>987</v>
      </c>
      <c r="G79" s="837"/>
      <c r="H79" s="1136"/>
      <c r="I79" s="837"/>
      <c r="J79" s="1136"/>
      <c r="K79" s="402" t="s">
        <v>1041</v>
      </c>
      <c r="X79" s="871">
        <v>0</v>
      </c>
    </row>
    <row s="8273" customFormat="1" customHeight="1" ht="11.25" hidden="1">
      <c r="A80" s="2505"/>
      <c r="B80" s="624"/>
      <c r="D80" s="778" t="s">
        <v>452</v>
      </c>
      <c r="E80" s="836" t="s">
        <v>1042</v>
      </c>
      <c r="F80" s="773" t="s">
        <v>987</v>
      </c>
      <c r="G80" s="837"/>
      <c r="H80" s="1136"/>
      <c r="I80" s="837"/>
      <c r="J80" s="1136"/>
      <c r="K80" s="402"/>
      <c r="X80" s="871">
        <v>0</v>
      </c>
    </row>
    <row s="8273" customFormat="1" customHeight="1" ht="11.25" hidden="1">
      <c r="A81" s="2505"/>
      <c r="B81" s="624"/>
      <c r="D81" s="778" t="s">
        <v>460</v>
      </c>
      <c r="E81" s="836" t="s">
        <v>1043</v>
      </c>
      <c r="F81" s="773" t="s">
        <v>987</v>
      </c>
      <c r="G81" s="837"/>
      <c r="H81" s="1136"/>
      <c r="I81" s="837"/>
      <c r="J81" s="1136"/>
      <c r="K81" s="402"/>
      <c r="X81" s="871">
        <v>0</v>
      </c>
    </row>
    <row s="8273" customFormat="1" customHeight="1" ht="11.25" hidden="1">
      <c r="A82" s="2505"/>
      <c r="B82" s="624"/>
      <c r="D82" s="778" t="s">
        <v>462</v>
      </c>
      <c r="E82" s="836" t="s">
        <v>1044</v>
      </c>
      <c r="F82" s="773" t="s">
        <v>987</v>
      </c>
      <c r="G82" s="837"/>
      <c r="H82" s="1136"/>
      <c r="I82" s="837"/>
      <c r="J82" s="1136"/>
      <c r="K82" s="402"/>
      <c r="X82" s="871">
        <v>0</v>
      </c>
    </row>
    <row s="8273" customFormat="1" customHeight="1" ht="11.25" hidden="1">
      <c r="A83" s="2505"/>
      <c r="B83" s="624"/>
      <c r="D83" s="778" t="s">
        <v>464</v>
      </c>
      <c r="E83" s="836" t="s">
        <v>1045</v>
      </c>
      <c r="F83" s="773" t="s">
        <v>987</v>
      </c>
      <c r="G83" s="837"/>
      <c r="H83" s="1136"/>
      <c r="I83" s="837"/>
      <c r="J83" s="1136"/>
      <c r="K83" s="402"/>
      <c r="X83" s="871">
        <v>0</v>
      </c>
    </row>
    <row s="8273" customFormat="1" customHeight="1" ht="11.25" hidden="1">
      <c r="A84" s="2505"/>
      <c r="B84" s="624"/>
      <c r="D84" s="778" t="s">
        <v>1046</v>
      </c>
      <c r="E84" s="836" t="s">
        <v>1047</v>
      </c>
      <c r="F84" s="773" t="s">
        <v>987</v>
      </c>
      <c r="G84" s="837"/>
      <c r="H84" s="1136"/>
      <c r="I84" s="837"/>
      <c r="J84" s="1136"/>
      <c r="K84" s="402"/>
      <c r="X84" s="871">
        <v>0</v>
      </c>
    </row>
    <row s="8273" customFormat="1" customHeight="1" ht="11.25" hidden="1">
      <c r="A85" s="2505"/>
      <c r="B85" s="624"/>
      <c r="D85" s="778" t="s">
        <v>1048</v>
      </c>
      <c r="E85" s="836" t="s">
        <v>1049</v>
      </c>
      <c r="F85" s="773" t="s">
        <v>987</v>
      </c>
      <c r="G85" s="837"/>
      <c r="H85" s="1136"/>
      <c r="I85" s="837"/>
      <c r="J85" s="1136"/>
      <c r="K85" s="402"/>
      <c r="X85" s="871">
        <v>0</v>
      </c>
    </row>
    <row s="8273" customFormat="1" customHeight="1" ht="11.25" hidden="1">
      <c r="A86" s="2505"/>
      <c r="B86" s="624"/>
      <c r="D86" s="778" t="s">
        <v>1050</v>
      </c>
      <c r="E86" s="836" t="s">
        <v>1051</v>
      </c>
      <c r="F86" s="773" t="s">
        <v>987</v>
      </c>
      <c r="G86" s="837"/>
      <c r="H86" s="1136"/>
      <c r="I86" s="837"/>
      <c r="J86" s="1136"/>
      <c r="K86" s="402"/>
      <c r="X86" s="871">
        <v>0</v>
      </c>
    </row>
    <row s="8273" customFormat="1" customHeight="1" ht="45" hidden="1">
      <c r="A87" s="2505"/>
      <c r="B87" s="624"/>
      <c r="D87" s="778" t="s">
        <v>91</v>
      </c>
      <c r="E87" s="779" t="s">
        <v>1052</v>
      </c>
      <c r="F87" s="773" t="s">
        <v>987</v>
      </c>
      <c r="G87" s="837"/>
      <c r="H87" s="1136"/>
      <c r="I87" s="837"/>
      <c r="J87" s="1136"/>
      <c r="K87" s="402" t="s">
        <v>1053</v>
      </c>
      <c r="X87" s="871">
        <v>0</v>
      </c>
    </row>
    <row s="8273" customFormat="1" customHeight="1" ht="11.25" hidden="1">
      <c r="A88" s="2505"/>
      <c r="B88" s="624"/>
      <c r="D88" s="778" t="s">
        <v>882</v>
      </c>
      <c r="E88" s="836" t="s">
        <v>1042</v>
      </c>
      <c r="F88" s="773" t="s">
        <v>987</v>
      </c>
      <c r="G88" s="837"/>
      <c r="H88" s="1136"/>
      <c r="I88" s="837"/>
      <c r="J88" s="1136"/>
      <c r="K88" s="402"/>
      <c r="X88" s="871">
        <v>0</v>
      </c>
    </row>
    <row s="8273" customFormat="1" customHeight="1" ht="11.25" hidden="1">
      <c r="A89" s="2505"/>
      <c r="B89" s="624"/>
      <c r="D89" s="778" t="s">
        <v>924</v>
      </c>
      <c r="E89" s="836" t="s">
        <v>1043</v>
      </c>
      <c r="F89" s="773" t="s">
        <v>987</v>
      </c>
      <c r="G89" s="837"/>
      <c r="H89" s="1136"/>
      <c r="I89" s="837"/>
      <c r="J89" s="1136"/>
      <c r="K89" s="402"/>
      <c r="X89" s="871">
        <v>0</v>
      </c>
    </row>
    <row s="8273" customFormat="1" customHeight="1" ht="11.25" hidden="1">
      <c r="A90" s="2505"/>
      <c r="B90" s="624"/>
      <c r="D90" s="778" t="s">
        <v>927</v>
      </c>
      <c r="E90" s="836" t="s">
        <v>1044</v>
      </c>
      <c r="F90" s="773" t="s">
        <v>987</v>
      </c>
      <c r="G90" s="837"/>
      <c r="H90" s="1136"/>
      <c r="I90" s="837"/>
      <c r="J90" s="1136"/>
      <c r="K90" s="402"/>
      <c r="X90" s="871">
        <v>0</v>
      </c>
    </row>
    <row s="8273" customFormat="1" customHeight="1" ht="11.25" hidden="1">
      <c r="A91" s="2505"/>
      <c r="B91" s="624"/>
      <c r="D91" s="778" t="s">
        <v>1005</v>
      </c>
      <c r="E91" s="836" t="s">
        <v>1045</v>
      </c>
      <c r="F91" s="773" t="s">
        <v>987</v>
      </c>
      <c r="G91" s="837"/>
      <c r="H91" s="1136"/>
      <c r="I91" s="837"/>
      <c r="J91" s="1136"/>
      <c r="K91" s="402"/>
      <c r="X91" s="871">
        <v>0</v>
      </c>
    </row>
    <row s="8273" customFormat="1" customHeight="1" ht="11.25" hidden="1">
      <c r="A92" s="2505"/>
      <c r="B92" s="624"/>
      <c r="D92" s="778" t="s">
        <v>1007</v>
      </c>
      <c r="E92" s="836" t="s">
        <v>1047</v>
      </c>
      <c r="F92" s="773" t="s">
        <v>987</v>
      </c>
      <c r="G92" s="837"/>
      <c r="H92" s="1136"/>
      <c r="I92" s="837"/>
      <c r="J92" s="1136"/>
      <c r="K92" s="402"/>
      <c r="X92" s="871">
        <v>0</v>
      </c>
    </row>
    <row s="8273" customFormat="1" customHeight="1" ht="11.25" hidden="1">
      <c r="A93" s="2505"/>
      <c r="B93" s="624"/>
      <c r="D93" s="778" t="s">
        <v>1054</v>
      </c>
      <c r="E93" s="836" t="s">
        <v>1049</v>
      </c>
      <c r="F93" s="773" t="s">
        <v>987</v>
      </c>
      <c r="G93" s="837"/>
      <c r="H93" s="1136"/>
      <c r="I93" s="837"/>
      <c r="J93" s="1136"/>
      <c r="K93" s="402"/>
      <c r="X93" s="871">
        <v>0</v>
      </c>
    </row>
    <row s="8273" customFormat="1" customHeight="1" ht="11.25" hidden="1">
      <c r="A94" s="2505"/>
      <c r="B94" s="624"/>
      <c r="D94" s="778" t="s">
        <v>1055</v>
      </c>
      <c r="E94" s="836" t="s">
        <v>1051</v>
      </c>
      <c r="F94" s="773" t="s">
        <v>987</v>
      </c>
      <c r="G94" s="837"/>
      <c r="H94" s="1136"/>
      <c r="I94" s="837"/>
      <c r="J94" s="1136"/>
      <c r="K94" s="402"/>
      <c r="X94" s="871">
        <v>0</v>
      </c>
    </row>
    <row s="8273" customFormat="1" customHeight="1" ht="24.75" hidden="1">
      <c r="A95" s="2505"/>
      <c r="B95" s="624"/>
      <c r="D95" s="778" t="s">
        <v>118</v>
      </c>
      <c r="E95" s="779" t="s">
        <v>1056</v>
      </c>
      <c r="F95" s="838" t="s">
        <v>687</v>
      </c>
      <c r="G95" s="840"/>
      <c r="H95" s="1136"/>
      <c r="I95" s="840"/>
      <c r="J95" s="1136"/>
      <c r="K95" s="402" t="s">
        <v>1057</v>
      </c>
      <c r="X95" s="871">
        <v>0</v>
      </c>
    </row>
    <row s="8273" customFormat="1" customHeight="1" ht="33.75" hidden="1">
      <c r="A96" s="2505"/>
      <c r="B96" s="624"/>
      <c r="D96" s="778" t="s">
        <v>92</v>
      </c>
      <c r="E96" s="779" t="s">
        <v>1058</v>
      </c>
      <c r="F96" s="839" t="s">
        <v>948</v>
      </c>
      <c r="G96" s="841"/>
      <c r="H96" s="1136"/>
      <c r="I96" s="841"/>
      <c r="J96" s="1136"/>
      <c r="K96" s="402"/>
      <c r="X96" s="871">
        <v>0</v>
      </c>
    </row>
    <row s="8273" customFormat="1" customHeight="1" ht="22.5" hidden="1">
      <c r="A97" s="2505"/>
      <c r="B97" s="624" t="s">
        <v>717</v>
      </c>
      <c r="D97" s="778" t="s">
        <v>93</v>
      </c>
      <c r="E97" s="779" t="s">
        <v>1059</v>
      </c>
      <c r="F97" s="839" t="s">
        <v>434</v>
      </c>
      <c r="G97" s="498"/>
      <c r="H97" s="1136"/>
      <c r="I97" s="498"/>
      <c r="J97" s="1136"/>
      <c r="K97" s="402" t="s">
        <v>760</v>
      </c>
      <c r="X97" s="871">
        <v>0</v>
      </c>
    </row>
    <row s="8273" customFormat="1" customHeight="1" ht="45" hidden="1">
      <c r="A98" s="2505"/>
      <c r="B98" s="624" t="s">
        <v>717</v>
      </c>
      <c r="D98" s="778" t="s">
        <v>1060</v>
      </c>
      <c r="E98" s="780" t="s">
        <v>1061</v>
      </c>
      <c r="F98" s="834" t="s">
        <v>434</v>
      </c>
      <c r="G98" s="498"/>
      <c r="H98" s="1136"/>
      <c r="I98" s="498"/>
      <c r="J98" s="1136"/>
      <c r="K98" s="402" t="s">
        <v>760</v>
      </c>
      <c r="X98" s="871">
        <v>0</v>
      </c>
    </row>
    <row s="8273" customFormat="1" customHeight="1" ht="95.25" hidden="1">
      <c r="A99" s="2505"/>
      <c r="B99" s="624" t="s">
        <v>717</v>
      </c>
      <c r="D99" s="778" t="s">
        <v>131</v>
      </c>
      <c r="E99" s="779" t="s">
        <v>1062</v>
      </c>
      <c r="F99" s="834" t="s">
        <v>434</v>
      </c>
      <c r="G99" s="498"/>
      <c r="H99" s="1136"/>
      <c r="I99" s="498"/>
      <c r="J99" s="1136"/>
      <c r="K99" s="402" t="s">
        <v>760</v>
      </c>
      <c r="X99" s="871">
        <v>0</v>
      </c>
    </row>
    <row s="8273" customFormat="1" customHeight="1" ht="22.5" hidden="1">
      <c r="A100" s="2505"/>
      <c r="B100" s="624" t="s">
        <v>717</v>
      </c>
      <c r="D100" s="778" t="s">
        <v>136</v>
      </c>
      <c r="E100" s="779" t="s">
        <v>1063</v>
      </c>
      <c r="F100" s="834" t="s">
        <v>434</v>
      </c>
      <c r="G100" s="498"/>
      <c r="H100" s="1136"/>
      <c r="I100" s="498"/>
      <c r="J100" s="1136"/>
      <c r="K100" s="402" t="s">
        <v>760</v>
      </c>
      <c r="X100" s="871">
        <v>0</v>
      </c>
    </row>
    <row s="8273" customFormat="1" customHeight="1" ht="11.549999999999999">
      <c r="A101" s="1146"/>
      <c r="B101" s="631"/>
      <c r="D101" s="1147"/>
      <c r="E101" s="1148"/>
      <c r="X101" s="622">
        <v>11</v>
      </c>
    </row>
    <row customHeight="1" ht="22.5" hidden="1">
      <c r="A102" s="649" t="s">
        <v>82</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2F02EB-46DC-250A-D374-42AD478DD329}"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8237" width="9.140625" hidden="1" customWidth="1"/>
    <col min="2" max="2" style="8273" width="9.140625" hidden="1" customWidth="1"/>
    <col min="3" max="3" style="12705" width="4.00390625" customWidth="1"/>
    <col min="4" max="4" style="8273" width="6.00390625" customWidth="1"/>
    <col min="5" max="5" style="8273" width="36.00390625" customWidth="1"/>
    <col min="6" max="6" style="8273" width="9.00390625" customWidth="1"/>
    <col min="7" max="7" style="8273" width="25.7109375" hidden="1" customWidth="1"/>
    <col min="8" max="8" style="8273" width="33.7109375" hidden="1" customWidth="1"/>
    <col min="9" max="9" style="8273" width="25.7109375" customWidth="1"/>
    <col min="10" max="10" style="8273" width="33.00390625" customWidth="1"/>
    <col min="11" max="11" style="8354" width="93.00390625" customWidth="1"/>
    <col min="12" max="20" style="8273" width="10.00390625" customWidth="1"/>
    <col min="21" max="21" style="12706" width="10.00390625" customWidth="1"/>
    <col min="22" max="22" style="8273" width="10.57421875" hidden="1"/>
  </cols>
  <sheetData>
    <row s="8354" customFormat="1" customHeight="1" ht="22.5" hidden="1">
      <c r="C1" s="785"/>
      <c r="G1" s="530">
        <v>4</v>
      </c>
      <c r="I1" s="530">
        <v>4</v>
      </c>
      <c r="U1" s="533"/>
      <c r="V1" s="530" t="s">
        <v>14</v>
      </c>
    </row>
    <row s="8354" customFormat="1" customHeight="1" ht="15" hidden="1">
      <c r="C2" s="785"/>
      <c r="U2" s="533"/>
      <c r="V2" s="530">
        <v>0</v>
      </c>
    </row>
    <row customHeight="1" ht="22.5" hidden="1">
      <c r="A3" s="618"/>
      <c r="B3" s="2510"/>
      <c r="C3" s="2511" t="s">
        <v>105</v>
      </c>
      <c r="D3" s="802" t="str">
        <f>B3&amp;".1"</f>
        <v>.1</v>
      </c>
      <c r="E3" s="803" t="s">
        <v>1064</v>
      </c>
      <c r="F3" s="804" t="s">
        <v>434</v>
      </c>
      <c r="G3" s="799"/>
      <c r="H3" s="514"/>
      <c r="I3" s="799"/>
      <c r="J3" s="514"/>
      <c r="K3" s="402" t="s">
        <v>1065</v>
      </c>
      <c r="V3" s="618">
        <v>0</v>
      </c>
    </row>
    <row customHeight="1" ht="15" hidden="1">
      <c r="A4" s="618"/>
      <c r="B4" s="2510"/>
      <c r="C4" s="2511"/>
      <c r="D4" s="802" t="str">
        <f>B3&amp;".2"</f>
        <v>.2</v>
      </c>
      <c r="E4" s="803" t="s">
        <v>1066</v>
      </c>
      <c r="F4" s="804" t="s">
        <v>434</v>
      </c>
      <c r="G4" s="1851" t="s">
        <v>28</v>
      </c>
      <c r="H4" s="514"/>
      <c r="I4" s="1851" t="s">
        <v>28</v>
      </c>
      <c r="J4" s="514"/>
      <c r="K4" s="402" t="s">
        <v>1067</v>
      </c>
      <c r="V4" s="618">
        <v>0</v>
      </c>
    </row>
    <row s="8354" customFormat="1" customHeight="1" ht="15" hidden="1">
      <c r="C5" s="785"/>
      <c r="U5" s="533"/>
      <c r="V5" s="530">
        <v>0</v>
      </c>
    </row>
    <row customHeight="1" ht="22.5" hidden="1">
      <c r="A6" s="618"/>
      <c r="B6" s="2510"/>
      <c r="C6" s="2511" t="s">
        <v>105</v>
      </c>
      <c r="D6" s="802" t="str">
        <f>B6&amp;".1"</f>
        <v>.1</v>
      </c>
      <c r="E6" s="803" t="s">
        <v>1068</v>
      </c>
      <c r="F6" s="804" t="s">
        <v>434</v>
      </c>
      <c r="G6" s="799"/>
      <c r="H6" s="514"/>
      <c r="I6" s="799"/>
      <c r="J6" s="514"/>
      <c r="K6" s="402" t="s">
        <v>1069</v>
      </c>
      <c r="V6" s="618">
        <v>0</v>
      </c>
    </row>
    <row customHeight="1" ht="15" hidden="1">
      <c r="A7" s="618"/>
      <c r="B7" s="2510"/>
      <c r="C7" s="2511"/>
      <c r="D7" s="802" t="str">
        <f>B6&amp;".2"</f>
        <v>.2</v>
      </c>
      <c r="E7" s="803" t="s">
        <v>1066</v>
      </c>
      <c r="F7" s="804" t="s">
        <v>434</v>
      </c>
      <c r="G7" s="1851" t="s">
        <v>28</v>
      </c>
      <c r="H7" s="514"/>
      <c r="I7" s="1851" t="s">
        <v>28</v>
      </c>
      <c r="J7" s="514"/>
      <c r="K7" s="402" t="s">
        <v>1067</v>
      </c>
      <c r="V7" s="618">
        <v>0</v>
      </c>
    </row>
    <row s="8354" customFormat="1" customHeight="1" ht="15" hidden="1">
      <c r="C8" s="785"/>
      <c r="U8" s="533"/>
      <c r="V8" s="530">
        <v>0</v>
      </c>
    </row>
    <row customHeight="1" ht="22.5" hidden="1">
      <c r="A9" s="618"/>
      <c r="B9" s="2510"/>
      <c r="C9" s="2511" t="s">
        <v>105</v>
      </c>
      <c r="D9" s="802" t="str">
        <f>B9&amp;".1"</f>
        <v>.1</v>
      </c>
      <c r="E9" s="803" t="s">
        <v>1070</v>
      </c>
      <c r="F9" s="804" t="s">
        <v>434</v>
      </c>
      <c r="G9" s="810" t="s">
        <v>28</v>
      </c>
      <c r="H9" s="514" t="s">
        <v>28</v>
      </c>
      <c r="I9" s="810" t="s">
        <v>28</v>
      </c>
      <c r="J9" s="514" t="s">
        <v>28</v>
      </c>
      <c r="K9" s="402"/>
      <c r="V9" s="618">
        <v>0</v>
      </c>
    </row>
    <row customHeight="1" ht="15" hidden="1">
      <c r="A10" s="618"/>
      <c r="B10" s="2510"/>
      <c r="C10" s="2511"/>
      <c r="D10" s="802" t="str">
        <f>B9&amp;".2"</f>
        <v>.2</v>
      </c>
      <c r="E10" s="803" t="s">
        <v>1071</v>
      </c>
      <c r="F10" s="804" t="s">
        <v>434</v>
      </c>
      <c r="G10" s="1845" t="s">
        <v>28</v>
      </c>
      <c r="H10" s="514" t="s">
        <v>28</v>
      </c>
      <c r="I10" s="1845" t="s">
        <v>28</v>
      </c>
      <c r="J10" s="514" t="s">
        <v>28</v>
      </c>
      <c r="K10" s="402" t="s">
        <v>1072</v>
      </c>
      <c r="V10" s="618">
        <v>0</v>
      </c>
    </row>
    <row customHeight="1" ht="15" hidden="1">
      <c r="A11" s="618"/>
      <c r="B11" s="2510"/>
      <c r="C11" s="2511"/>
      <c r="D11" s="802" t="str">
        <f>B9&amp;".3"</f>
        <v>.3</v>
      </c>
      <c r="E11" s="803" t="s">
        <v>1073</v>
      </c>
      <c r="F11" s="804" t="s">
        <v>434</v>
      </c>
      <c r="G11" s="1845" t="s">
        <v>28</v>
      </c>
      <c r="H11" s="514" t="s">
        <v>28</v>
      </c>
      <c r="I11" s="1845" t="s">
        <v>28</v>
      </c>
      <c r="J11" s="514" t="s">
        <v>28</v>
      </c>
      <c r="K11" s="402" t="s">
        <v>1074</v>
      </c>
      <c r="V11" s="618">
        <v>0</v>
      </c>
    </row>
    <row s="8354" customFormat="1" customHeight="1" ht="15" hidden="1">
      <c r="C12" s="785"/>
      <c r="U12" s="533"/>
      <c r="V12" s="530">
        <v>0</v>
      </c>
    </row>
    <row customHeight="1" ht="33.75" hidden="1">
      <c r="A13" s="618"/>
      <c r="B13" s="2510"/>
      <c r="C13" s="2511" t="s">
        <v>105</v>
      </c>
      <c r="D13" s="802" t="str">
        <f>B13&amp;".1"</f>
        <v>.1</v>
      </c>
      <c r="E13" s="803" t="s">
        <v>1075</v>
      </c>
      <c r="F13" s="804" t="s">
        <v>434</v>
      </c>
      <c r="G13" s="810" t="s">
        <v>28</v>
      </c>
      <c r="H13" s="514" t="s">
        <v>28</v>
      </c>
      <c r="I13" s="810" t="s">
        <v>28</v>
      </c>
      <c r="J13" s="514" t="s">
        <v>28</v>
      </c>
      <c r="K13" s="402" t="s">
        <v>1076</v>
      </c>
      <c r="V13" s="618">
        <v>0</v>
      </c>
    </row>
    <row customHeight="1" ht="15" hidden="1">
      <c r="B14" s="2510"/>
      <c r="C14" s="2511"/>
      <c r="D14" s="802" t="str">
        <f>B13&amp;".2"</f>
        <v>.2</v>
      </c>
      <c r="E14" s="803" t="s">
        <v>1077</v>
      </c>
      <c r="F14" s="804" t="s">
        <v>434</v>
      </c>
      <c r="G14" s="1845" t="s">
        <v>28</v>
      </c>
      <c r="H14" s="514" t="s">
        <v>28</v>
      </c>
      <c r="I14" s="1845" t="s">
        <v>28</v>
      </c>
      <c r="J14" s="514" t="s">
        <v>28</v>
      </c>
      <c r="K14" s="402" t="s">
        <v>1078</v>
      </c>
      <c r="V14" s="618">
        <v>0</v>
      </c>
    </row>
    <row s="8354" customFormat="1" customHeight="1" ht="15" hidden="1">
      <c r="C15" s="785"/>
      <c r="U15" s="533"/>
      <c r="V15" s="530">
        <v>0</v>
      </c>
    </row>
    <row s="8354" customFormat="1" customHeight="1" ht="15" hidden="1">
      <c r="C16" s="785"/>
      <c r="U16" s="533"/>
      <c r="V16" s="530">
        <v>0</v>
      </c>
    </row>
    <row s="8354" customFormat="1" customHeight="1" ht="15" hidden="1">
      <c r="C17" s="785"/>
      <c r="U17" s="533"/>
      <c r="V17" s="530">
        <v>0</v>
      </c>
    </row>
    <row s="8354" customFormat="1" customHeight="1" ht="15" hidden="1">
      <c r="C18" s="785"/>
      <c r="U18" s="533"/>
      <c r="V18" s="530">
        <v>0</v>
      </c>
    </row>
    <row s="8354" customFormat="1" customHeight="1" ht="15" hidden="1">
      <c r="C19" s="785"/>
      <c r="U19" s="533"/>
      <c r="V19" s="530">
        <v>0</v>
      </c>
    </row>
    <row s="8354"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50"/>
      <c r="F22" s="2350"/>
      <c r="G22" s="2350"/>
      <c r="H22" s="2350"/>
      <c r="I22" s="2350"/>
      <c r="J22" s="789"/>
      <c r="K22" s="650"/>
      <c r="V22" s="618">
        <v>22</v>
      </c>
    </row>
    <row customHeight="1" ht="15.75">
      <c r="C23" s="289"/>
      <c r="D23" s="2289" t="str">
        <f>IF(org=0,"Не определено",org)</f>
        <v>МУП ЖКХ "Родник"</v>
      </c>
      <c r="E23" s="2289"/>
      <c r="F23" s="2289"/>
      <c r="G23" s="2289"/>
      <c r="H23" s="2289"/>
      <c r="I23" s="2289"/>
      <c r="J23" s="789"/>
      <c r="K23" s="650"/>
      <c r="V23" s="618">
        <v>15</v>
      </c>
    </row>
    <row customHeight="1" ht="15.75">
      <c r="C24" s="289"/>
      <c r="D24" s="622"/>
      <c r="E24" s="622"/>
      <c r="F24" s="622"/>
      <c r="G24" s="650">
        <v>22</v>
      </c>
      <c r="H24" s="865"/>
      <c r="I24" s="650">
        <v>22</v>
      </c>
      <c r="J24" s="865"/>
      <c r="V24" s="618">
        <v>15</v>
      </c>
    </row>
    <row s="8273" customFormat="1" customHeight="1" ht="1.05">
      <c r="A25" s="872"/>
      <c r="C25" s="289"/>
      <c r="D25" s="622"/>
      <c r="E25" s="622"/>
      <c r="F25" s="622"/>
      <c r="G25" s="650"/>
      <c r="H25" s="865"/>
      <c r="I25" s="650" t="s">
        <v>192</v>
      </c>
      <c r="J25" s="865"/>
      <c r="K25" s="530"/>
      <c r="U25" s="788"/>
      <c r="V25" s="871">
        <v>1</v>
      </c>
    </row>
    <row customHeight="1" ht="15.75">
      <c r="C26" s="289"/>
      <c r="D26" s="824"/>
      <c r="E26" s="2480" t="s">
        <v>183</v>
      </c>
      <c r="F26" s="2481"/>
      <c r="G26" s="2508" t="str">
        <f>IF(G25="","",INDEX(DIFFERENTIATION_UNMERGE_VD,MATCH(G25,DIFFERENTIATION_ID_DIFF,0)))</f>
        <v/>
      </c>
      <c r="H26" s="2509"/>
      <c r="I26" s="2508">
        <f>IF(I25="","",INDEX(DIFFERENTIATION_UNMERGE_VD,MATCH(I25,DIFFERENTIATION_ID_DIFF,0)))</f>
        <v>0</v>
      </c>
      <c r="J26" s="2509"/>
      <c r="K26" s="2288" t="s">
        <v>429</v>
      </c>
      <c r="V26" s="618">
        <v>15</v>
      </c>
    </row>
    <row s="8273" customFormat="1" customHeight="1" ht="15.75">
      <c r="A27" s="872"/>
      <c r="C27" s="289"/>
      <c r="D27" s="824"/>
      <c r="E27" s="2480" t="s">
        <v>693</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8273" customFormat="1" customHeight="1" ht="15.75">
      <c r="A28" s="872"/>
      <c r="C28" s="289"/>
      <c r="D28" s="824"/>
      <c r="E28" s="2480" t="s">
        <v>694</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8273" customFormat="1" customHeight="1" ht="15.75">
      <c r="A29" s="872"/>
      <c r="C29" s="289"/>
      <c r="D29" s="2482" t="s">
        <v>428</v>
      </c>
      <c r="E29" s="2483"/>
      <c r="F29" s="2483"/>
      <c r="G29" s="1000"/>
      <c r="H29" s="1000"/>
      <c r="I29" s="1000"/>
      <c r="J29" s="1001"/>
      <c r="K29" s="2308"/>
      <c r="U29" s="788"/>
      <c r="V29" s="871">
        <v>15</v>
      </c>
    </row>
    <row customHeight="1" ht="35.699999999999996">
      <c r="C30" s="289"/>
      <c r="D30" s="874" t="s">
        <v>88</v>
      </c>
      <c r="E30" s="873" t="s">
        <v>430</v>
      </c>
      <c r="F30" s="873" t="s">
        <v>695</v>
      </c>
      <c r="G30" s="921" t="s">
        <v>431</v>
      </c>
      <c r="H30" s="920" t="s">
        <v>518</v>
      </c>
      <c r="I30" s="797" t="s">
        <v>431</v>
      </c>
      <c r="J30" s="578" t="s">
        <v>518</v>
      </c>
      <c r="K30" s="2314"/>
      <c r="V30" s="618">
        <v>34</v>
      </c>
    </row>
    <row customHeight="1" ht="15" hidden="1">
      <c r="C31" s="289"/>
      <c r="D31" s="706"/>
      <c r="E31" s="706"/>
      <c r="F31" s="706"/>
      <c r="G31" s="772"/>
      <c r="H31" s="772"/>
      <c r="I31" s="772"/>
      <c r="J31" s="772"/>
      <c r="K31" s="402"/>
      <c r="V31" s="618">
        <v>0</v>
      </c>
    </row>
    <row customHeight="1" ht="24">
      <c r="A32" s="618"/>
      <c r="B32" s="618" t="s">
        <v>1079</v>
      </c>
      <c r="C32" s="639"/>
      <c r="D32" s="805">
        <v>1</v>
      </c>
      <c r="E32" s="806" t="s">
        <v>1080</v>
      </c>
      <c r="F32" s="804" t="s">
        <v>434</v>
      </c>
      <c r="G32" s="926" t="s">
        <v>434</v>
      </c>
      <c r="H32" s="926" t="s">
        <v>434</v>
      </c>
      <c r="I32" s="804" t="s">
        <v>434</v>
      </c>
      <c r="J32" s="804" t="s">
        <v>434</v>
      </c>
      <c r="K32" s="402"/>
      <c r="V32" s="618">
        <v>23</v>
      </c>
    </row>
    <row customHeight="1" ht="11.549999999999999">
      <c r="A33" s="618"/>
      <c r="C33" s="618"/>
      <c r="D33" s="460"/>
      <c r="E33" s="693" t="s">
        <v>715</v>
      </c>
      <c r="F33" s="685"/>
      <c r="G33" s="685"/>
      <c r="H33" s="685"/>
      <c r="I33" s="685"/>
      <c r="J33" s="685"/>
      <c r="K33" s="686"/>
      <c r="U33" s="618"/>
      <c r="V33" s="618">
        <v>11</v>
      </c>
    </row>
    <row customHeight="1" ht="24">
      <c r="A34" s="618"/>
      <c r="B34" s="694" t="s">
        <v>765</v>
      </c>
      <c r="C34" s="639"/>
      <c r="D34" s="805">
        <v>2</v>
      </c>
      <c r="E34" s="806" t="s">
        <v>1081</v>
      </c>
      <c r="F34" s="933" t="s">
        <v>434</v>
      </c>
      <c r="G34" s="933" t="s">
        <v>434</v>
      </c>
      <c r="H34" s="933" t="s">
        <v>434</v>
      </c>
      <c r="I34" s="804"/>
      <c r="J34" s="804"/>
      <c r="K34" s="402"/>
      <c r="V34" s="618">
        <v>23</v>
      </c>
    </row>
    <row customHeight="1" ht="11.549999999999999">
      <c r="A35" s="618"/>
      <c r="C35" s="618"/>
      <c r="D35" s="460"/>
      <c r="E35" s="693" t="s">
        <v>1082</v>
      </c>
      <c r="F35" s="685"/>
      <c r="G35" s="807"/>
      <c r="H35" s="685"/>
      <c r="I35" s="807"/>
      <c r="J35" s="685"/>
      <c r="K35" s="686"/>
      <c r="U35" s="618"/>
      <c r="V35" s="618">
        <v>11</v>
      </c>
    </row>
    <row customHeight="1" ht="71.25">
      <c r="A36" s="618"/>
      <c r="B36" s="618" t="s">
        <v>1083</v>
      </c>
      <c r="C36" s="639"/>
      <c r="D36" s="805">
        <v>3</v>
      </c>
      <c r="E36" s="806" t="s">
        <v>1084</v>
      </c>
      <c r="F36" s="808" t="s">
        <v>434</v>
      </c>
      <c r="G36" s="927" t="s">
        <v>1085</v>
      </c>
      <c r="H36" s="926" t="s">
        <v>434</v>
      </c>
      <c r="I36" s="637" t="s">
        <v>1085</v>
      </c>
      <c r="J36" s="804" t="s">
        <v>434</v>
      </c>
      <c r="K36" s="402" t="s">
        <v>1086</v>
      </c>
      <c r="V36" s="618">
        <v>68</v>
      </c>
    </row>
    <row customHeight="1" ht="11.549999999999999">
      <c r="A37" s="618"/>
      <c r="C37" s="618"/>
      <c r="D37" s="460"/>
      <c r="E37" s="693" t="s">
        <v>1087</v>
      </c>
      <c r="F37" s="685"/>
      <c r="G37" s="807"/>
      <c r="H37" s="807"/>
      <c r="I37" s="807"/>
      <c r="J37" s="807"/>
      <c r="K37" s="686"/>
      <c r="U37" s="618"/>
      <c r="V37" s="618">
        <v>11</v>
      </c>
    </row>
    <row customHeight="1" ht="71.25">
      <c r="A38" s="618"/>
      <c r="B38" s="618" t="s">
        <v>1088</v>
      </c>
      <c r="C38" s="639"/>
      <c r="D38" s="805">
        <v>4</v>
      </c>
      <c r="E38" s="806" t="s">
        <v>1089</v>
      </c>
      <c r="F38" s="808" t="s">
        <v>434</v>
      </c>
      <c r="G38" s="927" t="s">
        <v>1085</v>
      </c>
      <c r="H38" s="928" t="s">
        <v>434</v>
      </c>
      <c r="I38" s="637" t="s">
        <v>1085</v>
      </c>
      <c r="J38" s="634" t="s">
        <v>434</v>
      </c>
      <c r="K38" s="792" t="s">
        <v>1090</v>
      </c>
      <c r="V38" s="618">
        <v>68</v>
      </c>
    </row>
    <row customHeight="1" ht="11.549999999999999">
      <c r="A39" s="618"/>
      <c r="C39" s="618"/>
      <c r="D39" s="460"/>
      <c r="E39" s="693" t="s">
        <v>1091</v>
      </c>
      <c r="F39" s="685"/>
      <c r="G39" s="685"/>
      <c r="H39" s="809"/>
      <c r="I39" s="685"/>
      <c r="J39" s="809"/>
      <c r="K39" s="686"/>
      <c r="U39" s="618"/>
      <c r="V39" s="618">
        <v>11</v>
      </c>
    </row>
    <row customHeight="1" ht="22.5" hidden="1">
      <c r="A40" s="562" t="s">
        <v>82</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F080B7-1FBD-A154-A019-DF3AA5F52F4A}"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2676" width="6.7109375" hidden="1" customWidth="1"/>
    <col min="4" max="4" style="8354" width="6.7109375" hidden="1" customWidth="1"/>
    <col min="5" max="5" style="8273" width="3.00390625" customWidth="1"/>
    <col min="6" max="6" style="8273" width="6.00390625" customWidth="1"/>
    <col min="7" max="7" style="8273" width="37.00390625" customWidth="1"/>
    <col min="8" max="8" style="8273" width="16.00390625" customWidth="1"/>
    <col min="9" max="10" style="8273" width="19.00390625" customWidth="1"/>
    <col min="11" max="11" style="8273" width="24.00390625" customWidth="1"/>
    <col min="12" max="13" style="8273" width="25.00390625" customWidth="1"/>
    <col min="14" max="16" style="8273" width="17.00390625" customWidth="1"/>
    <col min="17" max="24" style="8273" width="19.00390625" customWidth="1"/>
    <col min="25" max="25" style="8273" width="7.00390625" customWidth="1"/>
    <col min="26" max="26" style="8273" width="3.00390625" customWidth="1"/>
    <col min="27" max="27" style="8273" width="6.00390625" customWidth="1"/>
    <col min="28" max="28" style="8273" width="34.00390625" customWidth="1"/>
    <col min="29" max="30" style="8273" width="8.00390625" customWidth="1"/>
    <col min="31" max="31" style="8273" width="9.140625" hidden="1"/>
  </cols>
  <sheetData>
    <row s="8354" customFormat="1" customHeight="1" ht="10.5" hidden="1">
      <c r="A1" s="1008"/>
      <c r="B1" s="1008"/>
      <c r="C1" s="1008"/>
      <c r="E1" s="650"/>
      <c r="H1" s="1273"/>
      <c r="AE1" s="530" t="s">
        <v>14</v>
      </c>
    </row>
    <row customHeight="1" ht="10.5" hidden="1">
      <c r="AE2" s="871">
        <v>0</v>
      </c>
    </row>
    <row s="8237" customFormat="1" customHeight="1" ht="10.5" hidden="1">
      <c r="A3" s="1008"/>
      <c r="B3" s="1008"/>
      <c r="C3" s="1008"/>
      <c r="D3" s="530"/>
      <c r="E3" s="475"/>
      <c r="G3" s="1745" t="s">
        <v>1092</v>
      </c>
      <c r="H3" s="1269"/>
      <c r="AE3" s="872">
        <v>0</v>
      </c>
    </row>
    <row customHeight="1" ht="3">
      <c r="AE4" s="871">
        <v>3</v>
      </c>
    </row>
    <row customHeight="1" ht="27.299999999999997">
      <c r="F5" s="2361" t="str">
        <f>IP_NAME_FORM</f>
        <v>Форма 7. Информация об инвестиционных программах организации холодного водоснабжения и отчетах об их исполнении</v>
      </c>
      <c r="G5" s="2361"/>
      <c r="H5" s="2361"/>
      <c r="I5" s="2361"/>
      <c r="J5" s="2361"/>
      <c r="K5" s="2361"/>
      <c r="M5" s="695"/>
      <c r="AB5" s="1019"/>
      <c r="AE5" s="871">
        <v>26</v>
      </c>
    </row>
    <row s="8273" customFormat="1" customHeight="1" ht="16.8">
      <c r="A6" s="1279"/>
      <c r="B6" s="1279"/>
      <c r="C6" s="1279"/>
      <c r="D6" s="1273"/>
      <c r="E6" s="1748"/>
      <c r="F6" s="2362" t="str">
        <f>IF(org=0,"Не определено",org)</f>
        <v>МУП ЖКХ "Родник"</v>
      </c>
      <c r="G6" s="2362"/>
      <c r="H6" s="2362"/>
      <c r="I6" s="2362"/>
      <c r="J6" s="2362"/>
      <c r="K6" s="2362"/>
      <c r="M6" s="695"/>
      <c r="AB6" s="1261"/>
      <c r="AE6" s="1744">
        <v>16</v>
      </c>
    </row>
    <row customHeight="1" ht="10.5">
      <c r="AE7" s="871">
        <v>10</v>
      </c>
    </row>
    <row customHeight="1" ht="10.5">
      <c r="A8" s="1164"/>
      <c r="B8" s="1164"/>
      <c r="C8" s="1164"/>
      <c r="F8" s="2214" t="s">
        <v>428</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88</v>
      </c>
      <c r="G9" s="2240" t="s">
        <v>1092</v>
      </c>
      <c r="H9" s="2288" t="s">
        <v>1093</v>
      </c>
      <c r="I9" s="2240" t="s">
        <v>1094</v>
      </c>
      <c r="J9" s="2240" t="s">
        <v>1095</v>
      </c>
      <c r="K9" s="2240" t="s">
        <v>1096</v>
      </c>
      <c r="L9" s="2240" t="s">
        <v>1097</v>
      </c>
      <c r="M9" s="2240" t="s">
        <v>1098</v>
      </c>
      <c r="N9" s="2322" t="s">
        <v>1099</v>
      </c>
      <c r="O9" s="2322"/>
      <c r="P9" s="2322"/>
      <c r="Q9" s="2512" t="s">
        <v>1100</v>
      </c>
      <c r="R9" s="2513"/>
      <c r="S9" s="2513"/>
      <c r="T9" s="2514"/>
      <c r="U9" s="2512" t="s">
        <v>1101</v>
      </c>
      <c r="V9" s="2513"/>
      <c r="W9" s="2513"/>
      <c r="X9" s="2514"/>
      <c r="Y9" s="2214" t="s">
        <v>1102</v>
      </c>
      <c r="Z9" s="2215"/>
      <c r="AA9" s="2215"/>
      <c r="AB9" s="2216"/>
      <c r="AE9" s="871">
        <v>41</v>
      </c>
    </row>
    <row customHeight="1" ht="43.050000000000004">
      <c r="A10" s="1018"/>
      <c r="B10" s="1018"/>
      <c r="C10" s="1018"/>
      <c r="F10" s="2288"/>
      <c r="G10" s="2288"/>
      <c r="H10" s="2345"/>
      <c r="I10" s="2288"/>
      <c r="J10" s="2288"/>
      <c r="K10" s="2288"/>
      <c r="L10" s="2288"/>
      <c r="M10" s="2288"/>
      <c r="N10" s="1016" t="s">
        <v>1103</v>
      </c>
      <c r="O10" s="1016" t="s">
        <v>1104</v>
      </c>
      <c r="P10" s="1017" t="s">
        <v>1105</v>
      </c>
      <c r="Q10" s="1028" t="s">
        <v>89</v>
      </c>
      <c r="R10" s="1028" t="s">
        <v>1106</v>
      </c>
      <c r="S10" s="1028" t="s">
        <v>1107</v>
      </c>
      <c r="T10" s="1029" t="s">
        <v>1108</v>
      </c>
      <c r="U10" s="1028" t="s">
        <v>89</v>
      </c>
      <c r="V10" s="1028" t="s">
        <v>1109</v>
      </c>
      <c r="W10" s="1028" t="s">
        <v>1107</v>
      </c>
      <c r="X10" s="1029" t="s">
        <v>1108</v>
      </c>
      <c r="Y10" s="414" t="s">
        <v>1110</v>
      </c>
      <c r="Z10" s="2214" t="s">
        <v>88</v>
      </c>
      <c r="AA10" s="2216"/>
      <c r="AB10" s="1162" t="s">
        <v>1111</v>
      </c>
      <c r="AE10" s="871">
        <v>41</v>
      </c>
    </row>
    <row s="8355" customFormat="1" customHeight="1" ht="5.25" hidden="1">
      <c r="A11" s="1165"/>
      <c r="B11" s="1165"/>
      <c r="C11" s="1165"/>
      <c r="E11" s="1163"/>
      <c r="F11" s="2519" t="s">
        <v>504</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1112</v>
      </c>
      <c r="AE11" s="624">
        <v>0</v>
      </c>
    </row>
    <row s="8355"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1113</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8355" customFormat="1" customHeight="1" ht="10.5">
      <c r="A15" s="1280"/>
      <c r="B15" s="1280"/>
      <c r="C15" s="1280"/>
      <c r="E15" s="631"/>
      <c r="H15" s="624">
        <f>_xlfn.IFERROR(MATCH("нет",IP_MAIN_DIFFERENTIATION_EVENTS_FLAG,0),0)</f>
        <v>0</v>
      </c>
      <c r="AE15" s="624">
        <v>10</v>
      </c>
    </row>
    <row customHeight="1" ht="10.5" hidden="1">
      <c r="A16" s="1008" t="s">
        <v>82</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521717-7E9F-A743-3528-D27E53221D98}"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2676" width="4.140625" hidden="1" customWidth="1"/>
    <col min="4" max="4" style="8354" width="4.140625" hidden="1" customWidth="1"/>
    <col min="5" max="5" style="8273" width="3.00390625" customWidth="1"/>
    <col min="6" max="6" style="8273" width="14.00390625" customWidth="1"/>
    <col min="7" max="7" style="8273" width="3.00390625" customWidth="1"/>
    <col min="8" max="8" style="8273" width="7.00390625" customWidth="1"/>
    <col min="9" max="10" style="8273" width="16.00390625" customWidth="1"/>
    <col min="11" max="11" style="8273" width="25.00390625" customWidth="1"/>
    <col min="12" max="12" style="8273" width="7.00390625" customWidth="1"/>
    <col min="13" max="13" style="8273" width="15.00390625" customWidth="1"/>
    <col min="14" max="14" style="8273" width="3.00390625" customWidth="1"/>
    <col min="15" max="15" style="8273" width="4.00390625" customWidth="1"/>
    <col min="16" max="16" style="8273" width="8.00390625" customWidth="1"/>
    <col min="17" max="17" style="8273" width="21.00390625" customWidth="1"/>
    <col min="18" max="18" style="8273" width="14.00390625" customWidth="1"/>
    <col min="19" max="20" style="8273" width="17.00390625" customWidth="1"/>
    <col min="21" max="21" style="8273" width="9.00390625" customWidth="1"/>
    <col min="22" max="22" style="8273" width="12.00390625" customWidth="1"/>
    <col min="23" max="23" style="8273" width="9.00390625" customWidth="1"/>
    <col min="24" max="24" style="8273" width="21.00390625" customWidth="1"/>
    <col min="25" max="25" style="8273" width="12.00390625" customWidth="1"/>
    <col min="26" max="26" style="8273" width="3.00390625" customWidth="1"/>
    <col min="27" max="27" style="8273" width="6.00390625" customWidth="1"/>
    <col min="28" max="28" style="8273" width="38.00390625" customWidth="1"/>
    <col min="29" max="29" style="8273" width="15.00390625" customWidth="1"/>
    <col min="30" max="30" style="8273" width="37.57421875" hidden="1" customWidth="1"/>
    <col min="31" max="31" style="8273" width="15.7109375" hidden="1" customWidth="1"/>
    <col min="32" max="34" style="8273" width="16.00390625" customWidth="1"/>
    <col min="35" max="37" style="8273" width="16.7109375" hidden="1" customWidth="1"/>
    <col min="38" max="58" style="8273" width="8.00390625" customWidth="1"/>
    <col min="59" max="59" style="8273" width="9.140625" hidden="1"/>
  </cols>
  <sheetData>
    <row s="8354" customFormat="1" customHeight="1" ht="10.5" hidden="1">
      <c r="A1" s="1008"/>
      <c r="B1" s="1008"/>
      <c r="C1" s="1008"/>
      <c r="E1" s="650"/>
      <c r="H1" s="1273"/>
      <c r="L1" s="1241"/>
      <c r="M1" s="1241"/>
      <c r="AD1" s="1241"/>
      <c r="AH1" s="1260"/>
      <c r="AI1" s="1253"/>
      <c r="BG1" s="530" t="s">
        <v>14</v>
      </c>
    </row>
    <row customHeight="1" ht="10.5" hidden="1">
      <c r="BG2" s="871">
        <v>0</v>
      </c>
    </row>
    <row s="8237"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7. Информация об инвестиционных программах организации холодного водоснабжения и отчетах об их исполнении</v>
      </c>
      <c r="G5" s="2361"/>
      <c r="H5" s="2361"/>
      <c r="I5" s="2361"/>
      <c r="J5" s="2361"/>
      <c r="K5" s="2361"/>
      <c r="L5" s="1248"/>
      <c r="M5" s="1248"/>
      <c r="AG5" s="1019"/>
      <c r="AH5" s="1261"/>
      <c r="BG5" s="871">
        <v>26</v>
      </c>
    </row>
    <row customHeight="1" ht="10.5">
      <c r="F6" s="2289" t="str">
        <f>IF(org=0,"Не определено",org)</f>
        <v>МУП ЖКХ "Родник"</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428</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1114</v>
      </c>
      <c r="G9" s="2522" t="s">
        <v>1115</v>
      </c>
      <c r="H9" s="2523"/>
      <c r="I9" s="2240" t="s">
        <v>1116</v>
      </c>
      <c r="J9" s="2240"/>
      <c r="K9" s="2240" t="s">
        <v>1117</v>
      </c>
      <c r="L9" s="2240"/>
      <c r="M9" s="2240"/>
      <c r="N9" s="2240"/>
      <c r="O9" s="2240"/>
      <c r="P9" s="2240"/>
      <c r="Q9" s="2240"/>
      <c r="R9" s="2240"/>
      <c r="S9" s="2240"/>
      <c r="T9" s="2240"/>
      <c r="U9" s="2240"/>
      <c r="V9" s="2240"/>
      <c r="W9" s="2240"/>
      <c r="X9" s="2240"/>
      <c r="Y9" s="2240"/>
      <c r="Z9" s="2305" t="s">
        <v>1118</v>
      </c>
      <c r="AA9" s="2306"/>
      <c r="AB9" s="2240" t="s">
        <v>1119</v>
      </c>
      <c r="AC9" s="2240"/>
      <c r="AD9" s="2240"/>
      <c r="AE9" s="2240"/>
      <c r="AF9" s="2288" t="s">
        <v>1120</v>
      </c>
      <c r="AG9" s="2240" t="s">
        <v>1121</v>
      </c>
      <c r="AH9" s="2240"/>
      <c r="AI9" s="2288" t="s">
        <v>1122</v>
      </c>
      <c r="AJ9" s="2240" t="s">
        <v>1123</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1124</v>
      </c>
      <c r="L10" s="2214" t="s">
        <v>1125</v>
      </c>
      <c r="M10" s="2216"/>
      <c r="N10" s="2240" t="s">
        <v>1126</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8273" customFormat="1" customHeight="1" ht="25.2">
      <c r="A11" s="1242"/>
      <c r="B11" s="1242"/>
      <c r="C11" s="1242"/>
      <c r="D11" s="1241"/>
      <c r="E11" s="1243"/>
      <c r="F11" s="2521"/>
      <c r="G11" s="2524"/>
      <c r="H11" s="2525"/>
      <c r="I11" s="2240"/>
      <c r="J11" s="2240"/>
      <c r="K11" s="2240"/>
      <c r="L11" s="2288" t="s">
        <v>1127</v>
      </c>
      <c r="M11" s="2288" t="s">
        <v>1128</v>
      </c>
      <c r="N11" s="2240" t="s">
        <v>1129</v>
      </c>
      <c r="O11" s="2240"/>
      <c r="P11" s="2531" t="s">
        <v>1110</v>
      </c>
      <c r="Q11" s="2531" t="s">
        <v>1130</v>
      </c>
      <c r="R11" s="2531" t="s">
        <v>1131</v>
      </c>
      <c r="S11" s="2531" t="s">
        <v>1132</v>
      </c>
      <c r="T11" s="2531"/>
      <c r="U11" s="2531"/>
      <c r="V11" s="2531"/>
      <c r="W11" s="2531"/>
      <c r="X11" s="2531"/>
      <c r="Y11" s="2531"/>
      <c r="Z11" s="2307"/>
      <c r="AA11" s="2308"/>
      <c r="AB11" s="2240" t="s">
        <v>1133</v>
      </c>
      <c r="AC11" s="2240"/>
      <c r="AD11" s="2214" t="s">
        <v>1134</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89</v>
      </c>
      <c r="J12" s="1266" t="s">
        <v>1135</v>
      </c>
      <c r="K12" s="2240"/>
      <c r="L12" s="2345"/>
      <c r="M12" s="2345"/>
      <c r="N12" s="2240"/>
      <c r="O12" s="2240"/>
      <c r="P12" s="2531"/>
      <c r="Q12" s="2531"/>
      <c r="R12" s="2531"/>
      <c r="S12" s="1247" t="s">
        <v>86</v>
      </c>
      <c r="T12" s="1247" t="s">
        <v>87</v>
      </c>
      <c r="U12" s="1247" t="s">
        <v>85</v>
      </c>
      <c r="V12" s="1247" t="s">
        <v>1136</v>
      </c>
      <c r="W12" s="1247" t="s">
        <v>85</v>
      </c>
      <c r="X12" s="1247" t="s">
        <v>1137</v>
      </c>
      <c r="Y12" s="1247" t="s">
        <v>1138</v>
      </c>
      <c r="Z12" s="2313"/>
      <c r="AA12" s="2314"/>
      <c r="AB12" s="1254" t="s">
        <v>1139</v>
      </c>
      <c r="AC12" s="1254" t="s">
        <v>1140</v>
      </c>
      <c r="AD12" s="1254" t="s">
        <v>1139</v>
      </c>
      <c r="AE12" s="1254" t="s">
        <v>1140</v>
      </c>
      <c r="AF12" s="2345"/>
      <c r="AG12" s="1267" t="s">
        <v>1141</v>
      </c>
      <c r="AH12" s="1267" t="s">
        <v>1142</v>
      </c>
      <c r="AI12" s="2345"/>
      <c r="AJ12" s="1267" t="s">
        <v>1141</v>
      </c>
      <c r="AK12" s="1267" t="s">
        <v>1142</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1143</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82</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45E1A6-E111-938B-60A9-F30346562894}"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2676" width="4.140625" hidden="1" customWidth="1"/>
    <col min="4" max="4" style="8354" width="4.140625" hidden="1" customWidth="1"/>
    <col min="5" max="5" style="8273" width="3.00390625" customWidth="1"/>
    <col min="6" max="6" style="8273" width="6.00390625" customWidth="1"/>
    <col min="7" max="7" style="8273" width="60.00390625" customWidth="1"/>
    <col min="8" max="9" style="8273" width="21.7109375" hidden="1" customWidth="1"/>
    <col min="10" max="10" style="8273" width="0.140625" customWidth="1"/>
    <col min="11" max="11" style="8273" width="1.00390625" customWidth="1"/>
    <col min="12" max="22" style="8273" width="8.00390625" customWidth="1"/>
    <col min="23" max="23" style="8273" width="9.140625" hidden="1"/>
  </cols>
  <sheetData>
    <row s="8354" customFormat="1" customHeight="1" ht="10.5" hidden="1">
      <c r="A1" s="1279"/>
      <c r="B1" s="1279"/>
      <c r="C1" s="1279"/>
      <c r="E1" s="650"/>
      <c r="W1" s="1273" t="s">
        <v>14</v>
      </c>
    </row>
    <row customHeight="1" ht="10.5" hidden="1">
      <c r="W2" s="1268">
        <v>0</v>
      </c>
    </row>
    <row s="8237"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61"/>
      <c r="H5" s="2361"/>
      <c r="I5" s="2361"/>
      <c r="J5" s="2361"/>
      <c r="W5" s="1268">
        <v>26</v>
      </c>
    </row>
    <row customHeight="1" ht="10.5">
      <c r="F6" s="2289" t="str">
        <f>IF(org=0,"Не определено",org)</f>
        <v>МУП ЖКХ "Родник"</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8355"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428</v>
      </c>
      <c r="G9" s="2533"/>
      <c r="H9" s="2533"/>
      <c r="I9" s="2533"/>
      <c r="J9" s="2533"/>
      <c r="K9" s="1353"/>
      <c r="L9" s="1270"/>
      <c r="M9" s="1270"/>
      <c r="N9" s="1270"/>
      <c r="O9" s="1270"/>
      <c r="P9" s="1270"/>
      <c r="Q9" s="1270"/>
      <c r="R9" s="1270"/>
      <c r="S9" s="1270"/>
      <c r="T9" s="1270"/>
      <c r="U9" s="1270"/>
      <c r="V9" s="1270"/>
      <c r="W9" s="1268">
        <v>10</v>
      </c>
    </row>
    <row customHeight="1" ht="25.2">
      <c r="E10" s="1270"/>
      <c r="F10" s="2536" t="s">
        <v>88</v>
      </c>
      <c r="G10" s="2541" t="s">
        <v>1144</v>
      </c>
      <c r="H10" s="2539" t="s">
        <v>1145</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1146</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1147</v>
      </c>
      <c r="G14" s="2534" t="s">
        <v>1148</v>
      </c>
      <c r="H14" s="2534"/>
      <c r="I14" s="2534"/>
      <c r="J14" s="2534"/>
      <c r="K14" s="1347"/>
      <c r="W14" s="1268">
        <v>11</v>
      </c>
    </row>
    <row customHeight="1" ht="11.549999999999999">
      <c r="F15" s="1343">
        <v>1</v>
      </c>
      <c r="G15" s="803" t="s">
        <v>1149</v>
      </c>
      <c r="H15" s="1349">
        <f>SUM(I15:J15)</f>
        <v>0</v>
      </c>
      <c r="I15" s="1349">
        <f>SUM(I16:I27)</f>
        <v>0</v>
      </c>
      <c r="J15" s="1338"/>
      <c r="K15" s="1347"/>
      <c r="W15" s="1268">
        <v>11</v>
      </c>
    </row>
    <row customHeight="1" ht="24">
      <c r="F16" s="1343" t="s">
        <v>1150</v>
      </c>
      <c r="G16" s="1350" t="s">
        <v>1151</v>
      </c>
      <c r="H16" s="1349">
        <f>SUM(I16:J16)</f>
        <v>0</v>
      </c>
      <c r="I16" s="1348"/>
      <c r="J16" s="1338"/>
      <c r="K16" s="1347"/>
      <c r="W16" s="1268">
        <v>23</v>
      </c>
    </row>
    <row customHeight="1" ht="24">
      <c r="F17" s="1343" t="s">
        <v>1152</v>
      </c>
      <c r="G17" s="1350" t="s">
        <v>1153</v>
      </c>
      <c r="H17" s="1349">
        <f>SUM(I17:J17)</f>
        <v>0</v>
      </c>
      <c r="I17" s="1348"/>
      <c r="J17" s="1338"/>
      <c r="K17" s="1347"/>
      <c r="W17" s="1268">
        <v>23</v>
      </c>
    </row>
    <row customHeight="1" ht="35.699999999999996">
      <c r="F18" s="1343" t="s">
        <v>1154</v>
      </c>
      <c r="G18" s="1350" t="s">
        <v>1155</v>
      </c>
      <c r="H18" s="1349">
        <f>SUM(I18:J18)</f>
        <v>0</v>
      </c>
      <c r="I18" s="1348"/>
      <c r="J18" s="1338"/>
      <c r="K18" s="1347"/>
      <c r="W18" s="1268">
        <v>34</v>
      </c>
    </row>
    <row customHeight="1" ht="35.699999999999996">
      <c r="F19" s="1343" t="s">
        <v>1156</v>
      </c>
      <c r="G19" s="1350" t="s">
        <v>1157</v>
      </c>
      <c r="H19" s="1349">
        <f>SUM(I19:J19)</f>
        <v>0</v>
      </c>
      <c r="I19" s="1348"/>
      <c r="J19" s="1338"/>
      <c r="K19" s="1347"/>
      <c r="W19" s="1268">
        <v>34</v>
      </c>
    </row>
    <row customHeight="1" ht="48.29999999999999">
      <c r="F20" s="1343" t="s">
        <v>1158</v>
      </c>
      <c r="G20" s="1350" t="s">
        <v>1159</v>
      </c>
      <c r="H20" s="1349">
        <f>SUM(I20:J20)</f>
        <v>0</v>
      </c>
      <c r="I20" s="1348"/>
      <c r="J20" s="1338"/>
      <c r="K20" s="1347"/>
      <c r="W20" s="1268">
        <v>46</v>
      </c>
    </row>
    <row customHeight="1" ht="35.699999999999996">
      <c r="F21" s="1343" t="s">
        <v>1160</v>
      </c>
      <c r="G21" s="1350" t="s">
        <v>1161</v>
      </c>
      <c r="H21" s="1349">
        <f>SUM(I21:J21)</f>
        <v>0</v>
      </c>
      <c r="I21" s="1348"/>
      <c r="J21" s="1338"/>
      <c r="K21" s="1347"/>
      <c r="W21" s="1268">
        <v>34</v>
      </c>
    </row>
    <row customHeight="1" ht="35.699999999999996">
      <c r="F22" s="1343" t="s">
        <v>1162</v>
      </c>
      <c r="G22" s="1350" t="s">
        <v>1163</v>
      </c>
      <c r="H22" s="1349">
        <f>SUM(I22:J22)</f>
        <v>0</v>
      </c>
      <c r="I22" s="1348"/>
      <c r="J22" s="1338"/>
      <c r="K22" s="1347"/>
      <c r="W22" s="1268">
        <v>34</v>
      </c>
    </row>
    <row customHeight="1" ht="24">
      <c r="F23" s="1343" t="s">
        <v>1164</v>
      </c>
      <c r="G23" s="1350" t="s">
        <v>1165</v>
      </c>
      <c r="H23" s="1349">
        <f>SUM(I23:J23)</f>
        <v>0</v>
      </c>
      <c r="I23" s="1348"/>
      <c r="J23" s="1338"/>
      <c r="K23" s="1347"/>
      <c r="W23" s="1268">
        <v>23</v>
      </c>
    </row>
    <row customHeight="1" ht="24">
      <c r="F24" s="1343" t="s">
        <v>1166</v>
      </c>
      <c r="G24" s="1350" t="s">
        <v>1167</v>
      </c>
      <c r="H24" s="1349">
        <f>SUM(I24:J24)</f>
        <v>0</v>
      </c>
      <c r="I24" s="1348"/>
      <c r="J24" s="1338"/>
      <c r="K24" s="1347"/>
      <c r="W24" s="1268">
        <v>23</v>
      </c>
    </row>
    <row customHeight="1" ht="35.699999999999996">
      <c r="F25" s="1343" t="s">
        <v>1168</v>
      </c>
      <c r="G25" s="1350" t="s">
        <v>1169</v>
      </c>
      <c r="H25" s="1349">
        <f>SUM(I25:J25)</f>
        <v>0</v>
      </c>
      <c r="I25" s="1348"/>
      <c r="J25" s="1338"/>
      <c r="K25" s="1347"/>
      <c r="W25" s="1268">
        <v>34</v>
      </c>
    </row>
    <row customHeight="1" ht="35.699999999999996">
      <c r="F26" s="1343" t="s">
        <v>1170</v>
      </c>
      <c r="G26" s="1350" t="s">
        <v>1171</v>
      </c>
      <c r="H26" s="1349">
        <f>SUM(I26:J26)</f>
        <v>0</v>
      </c>
      <c r="I26" s="1348"/>
      <c r="J26" s="1338"/>
      <c r="K26" s="1347"/>
      <c r="W26" s="1268">
        <v>34</v>
      </c>
    </row>
    <row customHeight="1" ht="11.549999999999999">
      <c r="F27" s="1343" t="s">
        <v>1172</v>
      </c>
      <c r="G27" s="1350" t="s">
        <v>1173</v>
      </c>
      <c r="H27" s="1349">
        <f>SUM(I27:J27)</f>
        <v>0</v>
      </c>
      <c r="I27" s="1348"/>
      <c r="J27" s="1338"/>
      <c r="K27" s="1347"/>
      <c r="W27" s="1268">
        <v>11</v>
      </c>
    </row>
    <row customHeight="1" ht="11.549999999999999">
      <c r="F28" s="1343">
        <v>2</v>
      </c>
      <c r="G28" s="803" t="s">
        <v>1174</v>
      </c>
      <c r="H28" s="1349">
        <f>SUM(I28:J28)</f>
        <v>0</v>
      </c>
      <c r="I28" s="1349">
        <f>SUM(I29:I31)</f>
        <v>0</v>
      </c>
      <c r="J28" s="1338"/>
      <c r="K28" s="1347"/>
      <c r="W28" s="1268">
        <v>11</v>
      </c>
    </row>
    <row customHeight="1" ht="11.549999999999999">
      <c r="F29" s="1343" t="s">
        <v>837</v>
      </c>
      <c r="G29" s="1350" t="s">
        <v>1175</v>
      </c>
      <c r="H29" s="1349">
        <f>SUM(I29:J29)</f>
        <v>0</v>
      </c>
      <c r="I29" s="1348"/>
      <c r="J29" s="1338"/>
      <c r="K29" s="1347"/>
      <c r="W29" s="1268">
        <v>11</v>
      </c>
    </row>
    <row customHeight="1" ht="11.549999999999999">
      <c r="F30" s="1343" t="s">
        <v>435</v>
      </c>
      <c r="G30" s="1350" t="s">
        <v>1176</v>
      </c>
      <c r="H30" s="1349">
        <f>SUM(I30:J30)</f>
        <v>0</v>
      </c>
      <c r="I30" s="1348"/>
      <c r="J30" s="1338"/>
      <c r="K30" s="1347"/>
      <c r="W30" s="1268">
        <v>11</v>
      </c>
    </row>
    <row customHeight="1" ht="11.549999999999999">
      <c r="F31" s="1343" t="s">
        <v>438</v>
      </c>
      <c r="G31" s="1350" t="s">
        <v>1177</v>
      </c>
      <c r="H31" s="1349">
        <f>SUM(I31:J31)</f>
        <v>0</v>
      </c>
      <c r="I31" s="1348"/>
      <c r="J31" s="1338"/>
      <c r="K31" s="1347"/>
      <c r="W31" s="1268">
        <v>11</v>
      </c>
    </row>
    <row customHeight="1" ht="11.549999999999999">
      <c r="F32" s="1343">
        <v>3</v>
      </c>
      <c r="G32" s="803" t="s">
        <v>1178</v>
      </c>
      <c r="H32" s="1349">
        <f>SUM(I32:J32)</f>
        <v>0</v>
      </c>
      <c r="I32" s="1349">
        <f>SUM(I33:I34)</f>
        <v>0</v>
      </c>
      <c r="J32" s="1338"/>
      <c r="K32" s="1347"/>
      <c r="W32" s="1268">
        <v>11</v>
      </c>
    </row>
    <row customHeight="1" ht="48.29999999999999">
      <c r="F33" s="1343" t="s">
        <v>452</v>
      </c>
      <c r="G33" s="1350" t="s">
        <v>1179</v>
      </c>
      <c r="H33" s="1349">
        <f>SUM(I33:J33)</f>
        <v>0</v>
      </c>
      <c r="I33" s="1348"/>
      <c r="J33" s="1338"/>
      <c r="K33" s="1347"/>
      <c r="W33" s="1268">
        <v>46</v>
      </c>
    </row>
    <row customHeight="1" ht="11.549999999999999">
      <c r="F34" s="1343" t="s">
        <v>460</v>
      </c>
      <c r="G34" s="1350" t="s">
        <v>1180</v>
      </c>
      <c r="H34" s="1349">
        <f>SUM(I34:J34)</f>
        <v>0</v>
      </c>
      <c r="I34" s="1348"/>
      <c r="J34" s="1338"/>
      <c r="K34" s="1347"/>
      <c r="W34" s="1268">
        <v>11</v>
      </c>
    </row>
    <row customHeight="1" ht="11.549999999999999">
      <c r="F35" s="1343">
        <v>4</v>
      </c>
      <c r="G35" s="803" t="s">
        <v>1181</v>
      </c>
      <c r="H35" s="1349">
        <f>SUM(I35:J35)</f>
        <v>0</v>
      </c>
      <c r="I35" s="1348"/>
      <c r="J35" s="1338"/>
      <c r="K35" s="1347"/>
      <c r="W35" s="1268">
        <v>11</v>
      </c>
    </row>
    <row customHeight="1" ht="11.549999999999999">
      <c r="F36" s="1343"/>
      <c r="G36" s="806" t="s">
        <v>1182</v>
      </c>
      <c r="H36" s="1349">
        <f>SUM(I36:J36)</f>
        <v>0</v>
      </c>
      <c r="I36" s="1349">
        <f>SUM(I15,I28,I32,I35)</f>
        <v>0</v>
      </c>
      <c r="J36" s="1338"/>
      <c r="K36" s="1347"/>
      <c r="W36" s="1268">
        <v>11</v>
      </c>
    </row>
    <row customHeight="1" ht="29.25">
      <c r="F37" s="1344" t="s">
        <v>1183</v>
      </c>
      <c r="G37" s="2535" t="s">
        <v>1184</v>
      </c>
      <c r="H37" s="2535"/>
      <c r="I37" s="2535"/>
      <c r="J37" s="2535"/>
      <c r="K37" s="1347"/>
      <c r="W37" s="1268">
        <v>28</v>
      </c>
    </row>
    <row customHeight="1" ht="24">
      <c r="F38" s="1343" t="s">
        <v>187</v>
      </c>
      <c r="G38" s="803" t="s">
        <v>1185</v>
      </c>
      <c r="H38" s="1349">
        <f>SUM(I38:J38)</f>
        <v>0</v>
      </c>
      <c r="I38" s="1349">
        <f>SUM(I39,I44,I47)</f>
        <v>0</v>
      </c>
      <c r="J38" s="1338"/>
      <c r="K38" s="1347"/>
      <c r="W38" s="1268">
        <v>23</v>
      </c>
    </row>
    <row customHeight="1" ht="11.549999999999999">
      <c r="F39" s="1343" t="s">
        <v>1150</v>
      </c>
      <c r="G39" s="1350" t="s">
        <v>1149</v>
      </c>
      <c r="H39" s="1349">
        <f>SUM(I39:J39)</f>
        <v>0</v>
      </c>
      <c r="I39" s="1349">
        <f>SUM(I40:I43)</f>
        <v>0</v>
      </c>
      <c r="J39" s="1338"/>
      <c r="K39" s="1347"/>
      <c r="W39" s="1268">
        <v>11</v>
      </c>
    </row>
    <row customHeight="1" ht="24">
      <c r="F40" s="1343" t="s">
        <v>1186</v>
      </c>
      <c r="G40" s="1351" t="s">
        <v>1187</v>
      </c>
      <c r="H40" s="1349">
        <f>SUM(I40:J40)</f>
        <v>0</v>
      </c>
      <c r="I40" s="1348"/>
      <c r="J40" s="1338"/>
      <c r="K40" s="1347"/>
      <c r="W40" s="1268">
        <v>23</v>
      </c>
    </row>
    <row customHeight="1" ht="11.549999999999999">
      <c r="F41" s="1343" t="s">
        <v>1188</v>
      </c>
      <c r="G41" s="1351" t="s">
        <v>1189</v>
      </c>
      <c r="H41" s="1349">
        <f>SUM(I41:J41)</f>
        <v>0</v>
      </c>
      <c r="I41" s="1348"/>
      <c r="J41" s="1338"/>
      <c r="K41" s="1347"/>
      <c r="W41" s="1268">
        <v>11</v>
      </c>
    </row>
    <row customHeight="1" ht="11.549999999999999">
      <c r="F42" s="1343" t="s">
        <v>1190</v>
      </c>
      <c r="G42" s="1351" t="s">
        <v>1191</v>
      </c>
      <c r="H42" s="1349">
        <f>SUM(I42:J42)</f>
        <v>0</v>
      </c>
      <c r="I42" s="1348"/>
      <c r="J42" s="1338"/>
      <c r="K42" s="1347"/>
      <c r="W42" s="1268">
        <v>11</v>
      </c>
    </row>
    <row customHeight="1" ht="35.699999999999996">
      <c r="F43" s="1343" t="s">
        <v>1192</v>
      </c>
      <c r="G43" s="1351" t="s">
        <v>1193</v>
      </c>
      <c r="H43" s="1349">
        <f>SUM(I43:J43)</f>
        <v>0</v>
      </c>
      <c r="I43" s="1348"/>
      <c r="J43" s="1338"/>
      <c r="K43" s="1347"/>
      <c r="W43" s="1268">
        <v>34</v>
      </c>
    </row>
    <row customHeight="1" ht="11.549999999999999">
      <c r="F44" s="1343" t="s">
        <v>1152</v>
      </c>
      <c r="G44" s="1350" t="s">
        <v>1178</v>
      </c>
      <c r="H44" s="1349">
        <f>SUM(I44:J44)</f>
        <v>0</v>
      </c>
      <c r="I44" s="1349">
        <f>SUM(I45:I46)</f>
        <v>0</v>
      </c>
      <c r="J44" s="1338"/>
      <c r="K44" s="1347"/>
      <c r="W44" s="1268">
        <v>11</v>
      </c>
    </row>
    <row customHeight="1" ht="48.29999999999999">
      <c r="F45" s="1343" t="s">
        <v>1194</v>
      </c>
      <c r="G45" s="1351" t="s">
        <v>1179</v>
      </c>
      <c r="H45" s="1349">
        <f>SUM(I45:J45)</f>
        <v>0</v>
      </c>
      <c r="I45" s="1348"/>
      <c r="J45" s="1338"/>
      <c r="K45" s="1347"/>
      <c r="W45" s="1268">
        <v>46</v>
      </c>
    </row>
    <row customHeight="1" ht="11.549999999999999">
      <c r="F46" s="1343" t="s">
        <v>1195</v>
      </c>
      <c r="G46" s="1351" t="s">
        <v>1180</v>
      </c>
      <c r="H46" s="1349">
        <f>SUM(I46:J46)</f>
        <v>0</v>
      </c>
      <c r="I46" s="1348"/>
      <c r="J46" s="1338"/>
      <c r="K46" s="1347"/>
      <c r="W46" s="1268">
        <v>11</v>
      </c>
    </row>
    <row customHeight="1" ht="11.549999999999999">
      <c r="F47" s="1343" t="s">
        <v>1154</v>
      </c>
      <c r="G47" s="1350" t="s">
        <v>1196</v>
      </c>
      <c r="H47" s="1349">
        <f>SUM(I47:J47)</f>
        <v>0</v>
      </c>
      <c r="I47" s="1348"/>
      <c r="J47" s="1338"/>
      <c r="K47" s="1347"/>
      <c r="W47" s="1268">
        <v>11</v>
      </c>
    </row>
    <row customHeight="1" ht="24">
      <c r="F48" s="1343" t="s">
        <v>104</v>
      </c>
      <c r="G48" s="803" t="s">
        <v>1197</v>
      </c>
      <c r="H48" s="1349">
        <f>SUM(I48:J48)</f>
        <v>0</v>
      </c>
      <c r="I48" s="1349">
        <f>SUM(I49,I54,I57)</f>
        <v>0</v>
      </c>
      <c r="J48" s="1338"/>
      <c r="K48" s="1347"/>
      <c r="W48" s="1268">
        <v>23</v>
      </c>
    </row>
    <row customHeight="1" ht="11.549999999999999">
      <c r="F49" s="1343" t="s">
        <v>837</v>
      </c>
      <c r="G49" s="1350" t="s">
        <v>1149</v>
      </c>
      <c r="H49" s="1349">
        <f>SUM(I49:J49)</f>
        <v>0</v>
      </c>
      <c r="I49" s="1349">
        <f>SUM(I50:I53)</f>
        <v>0</v>
      </c>
      <c r="J49" s="1338"/>
      <c r="K49" s="1347"/>
      <c r="W49" s="1268">
        <v>11</v>
      </c>
    </row>
    <row customHeight="1" ht="24">
      <c r="F50" s="1343" t="s">
        <v>840</v>
      </c>
      <c r="G50" s="1351" t="s">
        <v>1187</v>
      </c>
      <c r="H50" s="1349">
        <f>SUM(I50:J50)</f>
        <v>0</v>
      </c>
      <c r="I50" s="1348"/>
      <c r="J50" s="1338"/>
      <c r="K50" s="1347"/>
      <c r="W50" s="1268">
        <v>23</v>
      </c>
    </row>
    <row customHeight="1" ht="11.549999999999999">
      <c r="F51" s="1343" t="s">
        <v>843</v>
      </c>
      <c r="G51" s="1351" t="s">
        <v>1189</v>
      </c>
      <c r="H51" s="1349">
        <f>SUM(I51:J51)</f>
        <v>0</v>
      </c>
      <c r="I51" s="1348"/>
      <c r="J51" s="1338"/>
      <c r="K51" s="1347"/>
      <c r="W51" s="1268">
        <v>11</v>
      </c>
    </row>
    <row customHeight="1" ht="11.549999999999999">
      <c r="F52" s="1343" t="s">
        <v>1198</v>
      </c>
      <c r="G52" s="1351" t="s">
        <v>1191</v>
      </c>
      <c r="H52" s="1349">
        <f>SUM(I52:J52)</f>
        <v>0</v>
      </c>
      <c r="I52" s="1348"/>
      <c r="J52" s="1338"/>
      <c r="K52" s="1347"/>
      <c r="W52" s="1268">
        <v>11</v>
      </c>
    </row>
    <row customHeight="1" ht="35.699999999999996">
      <c r="F53" s="1343" t="s">
        <v>1199</v>
      </c>
      <c r="G53" s="1351" t="s">
        <v>1193</v>
      </c>
      <c r="H53" s="1349">
        <f>SUM(I53:J53)</f>
        <v>0</v>
      </c>
      <c r="I53" s="1348"/>
      <c r="J53" s="1338"/>
      <c r="K53" s="1347"/>
      <c r="W53" s="1268">
        <v>34</v>
      </c>
    </row>
    <row customHeight="1" ht="11.549999999999999">
      <c r="F54" s="1343" t="s">
        <v>435</v>
      </c>
      <c r="G54" s="1350" t="s">
        <v>1178</v>
      </c>
      <c r="H54" s="1349">
        <f>SUM(I54:J54)</f>
        <v>0</v>
      </c>
      <c r="I54" s="1349">
        <f>SUM(I55:I56)</f>
        <v>0</v>
      </c>
      <c r="J54" s="1338"/>
      <c r="K54" s="1347"/>
      <c r="W54" s="1268">
        <v>11</v>
      </c>
    </row>
    <row customHeight="1" ht="48.29999999999999">
      <c r="F55" s="1343" t="s">
        <v>847</v>
      </c>
      <c r="G55" s="1351" t="s">
        <v>1179</v>
      </c>
      <c r="H55" s="1349">
        <f>SUM(I55:J55)</f>
        <v>0</v>
      </c>
      <c r="I55" s="1348"/>
      <c r="J55" s="1338"/>
      <c r="K55" s="1347"/>
      <c r="W55" s="1268">
        <v>46</v>
      </c>
    </row>
    <row customHeight="1" ht="11.549999999999999">
      <c r="F56" s="1343" t="s">
        <v>849</v>
      </c>
      <c r="G56" s="1351" t="s">
        <v>1180</v>
      </c>
      <c r="H56" s="1349">
        <f>SUM(I56:J56)</f>
        <v>0</v>
      </c>
      <c r="I56" s="1348"/>
      <c r="J56" s="1338"/>
      <c r="K56" s="1347"/>
      <c r="W56" s="1268">
        <v>11</v>
      </c>
    </row>
    <row customHeight="1" ht="11.549999999999999">
      <c r="F57" s="1343" t="s">
        <v>438</v>
      </c>
      <c r="G57" s="1350" t="s">
        <v>1196</v>
      </c>
      <c r="H57" s="1349">
        <f>SUM(I57:J57)</f>
        <v>0</v>
      </c>
      <c r="I57" s="1348"/>
      <c r="J57" s="1338"/>
      <c r="K57" s="1347"/>
      <c r="W57" s="1268">
        <v>11</v>
      </c>
    </row>
    <row customHeight="1" ht="11.549999999999999">
      <c r="F58" s="1343"/>
      <c r="G58" s="1352" t="s">
        <v>1182</v>
      </c>
      <c r="H58" s="1349">
        <f>SUM(I58:J58)</f>
        <v>0</v>
      </c>
      <c r="I58" s="1349">
        <f>SUM(I38,I48)</f>
        <v>0</v>
      </c>
      <c r="J58" s="1338"/>
      <c r="K58" s="1347"/>
      <c r="W58" s="1268">
        <v>11</v>
      </c>
    </row>
    <row customHeight="1" ht="10.5" hidden="1">
      <c r="A59" s="1279" t="s">
        <v>82</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F87A1A-3C99-8B4D-C9DC-9523B745297F}"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2880" width="4.7109375" hidden="1" customWidth="1"/>
    <col min="2" max="2" style="12886" width="4.7109375" hidden="1" customWidth="1"/>
    <col min="3" max="4" style="12880" width="4.7109375" hidden="1" customWidth="1"/>
    <col min="5" max="5" style="12880" width="3.00390625" customWidth="1"/>
    <col min="6" max="6" style="12880" width="6.00390625" customWidth="1"/>
    <col min="7" max="7" style="12880" width="18.00390625" customWidth="1"/>
    <col min="8" max="8" style="12880" width="27.00390625" customWidth="1"/>
    <col min="9" max="9" style="12880" width="18.00390625" customWidth="1"/>
    <col min="10" max="14" style="12880" width="0.8515625" hidden="1" customWidth="1"/>
    <col min="15" max="28" style="12880" width="21.7109375" hidden="1" customWidth="1"/>
    <col min="29" max="71" style="12880" width="0.8515625" hidden="1" customWidth="1"/>
    <col min="72" max="79" style="12880" width="21.7109375" customWidth="1"/>
    <col min="80" max="81" style="12880" width="29.140625" customWidth="1"/>
    <col min="82" max="89" style="12880" width="21.7109375" customWidth="1"/>
    <col min="90" max="102" style="12880" width="0.7109375" customWidth="1"/>
    <col min="103" max="114" style="12880" width="21.7109375" hidden="1" customWidth="1"/>
    <col min="115" max="178" style="12880" width="0.7109375" hidden="1" customWidth="1"/>
    <col min="179" max="179" style="12880" width="0.140625" customWidth="1"/>
    <col min="180" max="184" style="12880" width="8.00390625" customWidth="1"/>
    <col min="185" max="185" style="12880" width="9.140625" hidden="1"/>
  </cols>
  <sheetData>
    <row s="12810" customFormat="1" customHeight="1" ht="12" hidden="1">
      <c r="B1" s="1036"/>
      <c r="C1" s="1037"/>
      <c r="D1" s="1037"/>
      <c r="GC1" s="1035" t="s">
        <v>14</v>
      </c>
    </row>
    <row s="12810"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12810"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12820" customFormat="1" customHeight="1" ht="27.299999999999997">
      <c r="B5" s="1985"/>
      <c r="E5" s="1987"/>
      <c r="F5" s="254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12825" customFormat="1" customHeight="1" ht="18.75">
      <c r="B6" s="1056"/>
      <c r="E6" s="1058"/>
      <c r="F6" s="2327" t="str">
        <f>IF(org=0,"Не определено",org)</f>
        <v>МУП ЖКХ "Родник"</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12829"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12829" customFormat="1" customHeight="1" ht="11.25" hidden="1">
      <c r="B8" s="1047"/>
      <c r="F8" s="1169"/>
      <c r="G8" s="876"/>
      <c r="H8" s="473"/>
      <c r="I8" s="473"/>
      <c r="J8" s="473"/>
      <c r="K8" s="473"/>
      <c r="L8" s="473"/>
      <c r="M8" s="1169"/>
      <c r="N8" s="1169"/>
      <c r="O8" s="2563" t="s">
        <v>1200</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1201</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12829"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12829" customFormat="1" customHeight="1" ht="11.549999999999999">
      <c r="B10" s="1047"/>
      <c r="F10" s="2542" t="s">
        <v>428</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88</v>
      </c>
      <c r="G11" s="2318" t="s">
        <v>1202</v>
      </c>
      <c r="H11" s="2550" t="s">
        <v>1203</v>
      </c>
      <c r="I11" s="2550" t="s">
        <v>1204</v>
      </c>
      <c r="J11" s="2551"/>
      <c r="K11" s="2551"/>
      <c r="L11" s="2551"/>
      <c r="M11" s="2551"/>
      <c r="N11" s="2551"/>
      <c r="O11" s="2322" t="s">
        <v>1205</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1205</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1205</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1206</v>
      </c>
      <c r="P12" s="2322"/>
      <c r="Q12" s="2322"/>
      <c r="R12" s="2322"/>
      <c r="S12" s="2322" t="s">
        <v>1207</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1208</v>
      </c>
      <c r="BU12" s="2500"/>
      <c r="BV12" s="2500"/>
      <c r="BW12" s="2546"/>
      <c r="BX12" s="2499" t="s">
        <v>1209</v>
      </c>
      <c r="BY12" s="2500"/>
      <c r="BZ12" s="2500"/>
      <c r="CA12" s="2546"/>
      <c r="CB12" s="2499" t="s">
        <v>1210</v>
      </c>
      <c r="CC12" s="2546"/>
      <c r="CD12" s="2499" t="s">
        <v>1211</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1212</v>
      </c>
      <c r="CZ12" s="2500"/>
      <c r="DA12" s="2500"/>
      <c r="DB12" s="2500"/>
      <c r="DC12" s="2500"/>
      <c r="DD12" s="2546"/>
      <c r="DE12" s="2499" t="s">
        <v>1213</v>
      </c>
      <c r="DF12" s="2546"/>
      <c r="DG12" s="2499" t="s">
        <v>1211</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1214</v>
      </c>
      <c r="P13" s="2322"/>
      <c r="Q13" s="2322"/>
      <c r="R13" s="2322"/>
      <c r="S13" s="2449" t="s">
        <v>1215</v>
      </c>
      <c r="T13" s="2501"/>
      <c r="U13" s="2240" t="s">
        <v>1216</v>
      </c>
      <c r="V13" s="2240"/>
      <c r="W13" s="2240"/>
      <c r="X13" s="2240"/>
      <c r="Y13" s="2240" t="s">
        <v>1217</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1218</v>
      </c>
      <c r="BU13" s="2501"/>
      <c r="BV13" s="2449" t="s">
        <v>1219</v>
      </c>
      <c r="BW13" s="2501"/>
      <c r="BX13" s="2449" t="s">
        <v>1220</v>
      </c>
      <c r="BY13" s="2501"/>
      <c r="BZ13" s="2449" t="s">
        <v>1221</v>
      </c>
      <c r="CA13" s="2501"/>
      <c r="CB13" s="2449" t="s">
        <v>1222</v>
      </c>
      <c r="CC13" s="2501"/>
      <c r="CD13" s="2449" t="s">
        <v>1223</v>
      </c>
      <c r="CE13" s="2501"/>
      <c r="CF13" s="2449" t="s">
        <v>1224</v>
      </c>
      <c r="CG13" s="2501"/>
      <c r="CH13" s="2499" t="s">
        <v>1225</v>
      </c>
      <c r="CI13" s="2500"/>
      <c r="CJ13" s="2500"/>
      <c r="CK13" s="2546"/>
      <c r="CL13" s="2549"/>
      <c r="CM13" s="2547"/>
      <c r="CN13" s="2547"/>
      <c r="CO13" s="2547"/>
      <c r="CP13" s="2547"/>
      <c r="CQ13" s="2547"/>
      <c r="CR13" s="2547"/>
      <c r="CS13" s="2547"/>
      <c r="CT13" s="2547"/>
      <c r="CU13" s="2547"/>
      <c r="CV13" s="2547"/>
      <c r="CW13" s="2547"/>
      <c r="CX13" s="2566"/>
      <c r="CY13" s="2449" t="s">
        <v>1226</v>
      </c>
      <c r="CZ13" s="2501"/>
      <c r="DA13" s="2449" t="s">
        <v>1227</v>
      </c>
      <c r="DB13" s="2501"/>
      <c r="DC13" s="2449" t="s">
        <v>1228</v>
      </c>
      <c r="DD13" s="2501"/>
      <c r="DE13" s="2449" t="s">
        <v>1229</v>
      </c>
      <c r="DF13" s="2501"/>
      <c r="DG13" s="2499" t="s">
        <v>1230</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1231</v>
      </c>
      <c r="P14" s="2501"/>
      <c r="Q14" s="2449" t="s">
        <v>1232</v>
      </c>
      <c r="R14" s="2501"/>
      <c r="S14" s="2450"/>
      <c r="T14" s="2326"/>
      <c r="U14" s="2449" t="s">
        <v>964</v>
      </c>
      <c r="V14" s="2501"/>
      <c r="W14" s="2449" t="s">
        <v>967</v>
      </c>
      <c r="X14" s="2501"/>
      <c r="Y14" s="2449" t="s">
        <v>964</v>
      </c>
      <c r="Z14" s="2501"/>
      <c r="AA14" s="2449" t="s">
        <v>974</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1233</v>
      </c>
      <c r="CI14" s="2501"/>
      <c r="CJ14" s="2449" t="s">
        <v>1234</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1235</v>
      </c>
      <c r="DH14" s="2501"/>
      <c r="DI14" s="2449" t="s">
        <v>1236</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954</v>
      </c>
      <c r="P16" s="2546"/>
      <c r="Q16" s="2499" t="s">
        <v>956</v>
      </c>
      <c r="R16" s="2546"/>
      <c r="S16" s="2499" t="s">
        <v>960</v>
      </c>
      <c r="T16" s="2546"/>
      <c r="U16" s="2499" t="s">
        <v>965</v>
      </c>
      <c r="V16" s="2546"/>
      <c r="W16" s="2499" t="s">
        <v>968</v>
      </c>
      <c r="X16" s="2546"/>
      <c r="Y16" s="2499" t="s">
        <v>972</v>
      </c>
      <c r="Z16" s="2546"/>
      <c r="AA16" s="2499" t="s">
        <v>975</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687</v>
      </c>
      <c r="BU16" s="2546"/>
      <c r="BV16" s="2499" t="s">
        <v>687</v>
      </c>
      <c r="BW16" s="2546"/>
      <c r="BX16" s="2499" t="s">
        <v>687</v>
      </c>
      <c r="BY16" s="2546"/>
      <c r="BZ16" s="2499" t="s">
        <v>687</v>
      </c>
      <c r="CA16" s="2546"/>
      <c r="CB16" s="2499" t="s">
        <v>1237</v>
      </c>
      <c r="CC16" s="2546"/>
      <c r="CD16" s="2499" t="s">
        <v>687</v>
      </c>
      <c r="CE16" s="2546"/>
      <c r="CF16" s="2499" t="s">
        <v>1238</v>
      </c>
      <c r="CG16" s="2546"/>
      <c r="CH16" s="2499" t="s">
        <v>1239</v>
      </c>
      <c r="CI16" s="2546"/>
      <c r="CJ16" s="2499" t="s">
        <v>1239</v>
      </c>
      <c r="CK16" s="2546"/>
      <c r="CL16" s="2549"/>
      <c r="CM16" s="2547"/>
      <c r="CN16" s="2547"/>
      <c r="CO16" s="2547"/>
      <c r="CP16" s="2547"/>
      <c r="CQ16" s="2547"/>
      <c r="CR16" s="2547"/>
      <c r="CS16" s="2547"/>
      <c r="CT16" s="2547"/>
      <c r="CU16" s="2547"/>
      <c r="CV16" s="2547"/>
      <c r="CW16" s="2547"/>
      <c r="CX16" s="2566"/>
      <c r="CY16" s="2449" t="s">
        <v>687</v>
      </c>
      <c r="CZ16" s="2501"/>
      <c r="DA16" s="2449" t="s">
        <v>687</v>
      </c>
      <c r="DB16" s="2501"/>
      <c r="DC16" s="2449" t="s">
        <v>687</v>
      </c>
      <c r="DD16" s="2501"/>
      <c r="DE16" s="2499" t="s">
        <v>1237</v>
      </c>
      <c r="DF16" s="2546"/>
      <c r="DG16" s="2499" t="s">
        <v>1240</v>
      </c>
      <c r="DH16" s="2546"/>
      <c r="DI16" s="2499" t="s">
        <v>1240</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1241</v>
      </c>
      <c r="P17" s="1304" t="s">
        <v>1242</v>
      </c>
      <c r="Q17" s="1304" t="s">
        <v>1241</v>
      </c>
      <c r="R17" s="1304" t="s">
        <v>1242</v>
      </c>
      <c r="S17" s="1304" t="s">
        <v>1241</v>
      </c>
      <c r="T17" s="1304" t="s">
        <v>1242</v>
      </c>
      <c r="U17" s="1304" t="s">
        <v>1241</v>
      </c>
      <c r="V17" s="1304" t="s">
        <v>1242</v>
      </c>
      <c r="W17" s="1304" t="s">
        <v>1241</v>
      </c>
      <c r="X17" s="1304" t="s">
        <v>1242</v>
      </c>
      <c r="Y17" s="1304" t="s">
        <v>1241</v>
      </c>
      <c r="Z17" s="1304" t="s">
        <v>1242</v>
      </c>
      <c r="AA17" s="1304" t="s">
        <v>1241</v>
      </c>
      <c r="AB17" s="1304" t="s">
        <v>1242</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1241</v>
      </c>
      <c r="BU17" s="1304" t="s">
        <v>1242</v>
      </c>
      <c r="BV17" s="1304" t="s">
        <v>1241</v>
      </c>
      <c r="BW17" s="1304" t="s">
        <v>1242</v>
      </c>
      <c r="BX17" s="1304" t="s">
        <v>1241</v>
      </c>
      <c r="BY17" s="1304" t="s">
        <v>1242</v>
      </c>
      <c r="BZ17" s="1304" t="s">
        <v>1241</v>
      </c>
      <c r="CA17" s="1304" t="s">
        <v>1242</v>
      </c>
      <c r="CB17" s="1304" t="s">
        <v>1241</v>
      </c>
      <c r="CC17" s="1304" t="s">
        <v>1242</v>
      </c>
      <c r="CD17" s="1304" t="s">
        <v>1241</v>
      </c>
      <c r="CE17" s="1304" t="s">
        <v>1242</v>
      </c>
      <c r="CF17" s="1304" t="s">
        <v>1241</v>
      </c>
      <c r="CG17" s="1304" t="s">
        <v>1242</v>
      </c>
      <c r="CH17" s="1304" t="s">
        <v>1241</v>
      </c>
      <c r="CI17" s="1304" t="s">
        <v>1242</v>
      </c>
      <c r="CJ17" s="1304" t="s">
        <v>1241</v>
      </c>
      <c r="CK17" s="1304" t="s">
        <v>1242</v>
      </c>
      <c r="CL17" s="2549"/>
      <c r="CM17" s="2547"/>
      <c r="CN17" s="2547"/>
      <c r="CO17" s="2547"/>
      <c r="CP17" s="2547"/>
      <c r="CQ17" s="2547"/>
      <c r="CR17" s="2547"/>
      <c r="CS17" s="2547"/>
      <c r="CT17" s="2547"/>
      <c r="CU17" s="2547"/>
      <c r="CV17" s="2547"/>
      <c r="CW17" s="2547"/>
      <c r="CX17" s="2566"/>
      <c r="CY17" s="1304" t="s">
        <v>1241</v>
      </c>
      <c r="CZ17" s="1304" t="s">
        <v>1242</v>
      </c>
      <c r="DA17" s="1304" t="s">
        <v>1241</v>
      </c>
      <c r="DB17" s="1304" t="s">
        <v>1242</v>
      </c>
      <c r="DC17" s="1304" t="s">
        <v>1241</v>
      </c>
      <c r="DD17" s="1304" t="s">
        <v>1242</v>
      </c>
      <c r="DE17" s="1304" t="s">
        <v>1241</v>
      </c>
      <c r="DF17" s="1304" t="s">
        <v>1242</v>
      </c>
      <c r="DG17" s="1304" t="s">
        <v>1241</v>
      </c>
      <c r="DH17" s="1304" t="s">
        <v>1242</v>
      </c>
      <c r="DI17" s="1304" t="s">
        <v>1241</v>
      </c>
      <c r="DJ17" s="1304" t="s">
        <v>1242</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12810"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12810"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12810" customFormat="1" customHeight="1" ht="11.25" hidden="1">
      <c r="B20" s="1053"/>
      <c r="D20" s="1037"/>
      <c r="E20" s="1052"/>
      <c r="F20" s="1310" t="s">
        <v>504</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12810"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12810" customFormat="1" customHeight="1" ht="12.75">
      <c r="A22" s="1054"/>
      <c r="B22" s="1054"/>
      <c r="C22" s="1054"/>
      <c r="D22" s="1054"/>
      <c r="E22" s="1054"/>
      <c r="FX22" s="1054"/>
      <c r="FY22" s="1054"/>
      <c r="FZ22" s="1054"/>
      <c r="GA22" s="1054"/>
      <c r="GB22" s="1054"/>
      <c r="GC22" s="1035">
        <v>12</v>
      </c>
    </row>
    <row s="12880"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82</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650199-DBD5-BC18-9368-F26F8B174068}"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8237" width="9.140625" hidden="1" customWidth="1"/>
    <col min="2" max="2" style="8273" width="9.140625" hidden="1" customWidth="1"/>
    <col min="3" max="3" style="12705" width="4.00390625" customWidth="1"/>
    <col min="4" max="4" style="8273" width="6.00390625" customWidth="1"/>
    <col min="5" max="5" style="8273" width="36.00390625" customWidth="1"/>
    <col min="6" max="6" style="8273" width="9.00390625" customWidth="1"/>
    <col min="7" max="7" style="8273" width="42.421875" hidden="1" customWidth="1"/>
    <col min="8" max="8" style="8273" width="40.7109375" customWidth="1"/>
    <col min="9" max="9" style="8354" width="93.00390625" customWidth="1"/>
    <col min="10" max="17" style="8273" width="10.00390625" customWidth="1"/>
    <col min="18" max="18" style="12706" width="10.00390625" customWidth="1"/>
    <col min="19" max="19" style="8273" width="10.57421875" hidden="1"/>
  </cols>
  <sheetData>
    <row s="8354" customFormat="1" customHeight="1" ht="15" hidden="1">
      <c r="C1" s="785"/>
      <c r="H1" s="530">
        <v>4</v>
      </c>
      <c r="R1" s="533"/>
      <c r="S1" s="530" t="s">
        <v>14</v>
      </c>
    </row>
    <row customHeight="1" ht="22.5" hidden="1">
      <c r="C2" s="2041" t="s">
        <v>105</v>
      </c>
      <c r="D2" s="652"/>
      <c r="E2" s="776"/>
      <c r="F2" s="1874" t="str">
        <f>IF(TEMPLATE_SPHERE="HEAT","Гкал/час","тыс. куб. м/сутки")</f>
        <v>тыс. куб. м/сутки</v>
      </c>
      <c r="G2" s="793"/>
      <c r="H2" s="793"/>
      <c r="I2" s="402"/>
      <c r="S2" s="618">
        <v>0</v>
      </c>
    </row>
    <row s="8354" customFormat="1" customHeight="1" ht="15" hidden="1">
      <c r="C3" s="785"/>
      <c r="R3" s="533"/>
      <c r="S3" s="530">
        <v>0</v>
      </c>
    </row>
    <row customHeight="1" ht="15.75">
      <c r="C4" s="289"/>
      <c r="D4" s="622"/>
      <c r="E4" s="622"/>
      <c r="F4" s="622"/>
      <c r="G4" s="622"/>
      <c r="H4" s="622"/>
      <c r="S4" s="618">
        <v>15</v>
      </c>
    </row>
    <row customHeight="1" ht="39.75">
      <c r="C5" s="289"/>
      <c r="D5" s="235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50"/>
      <c r="F5" s="2350"/>
      <c r="G5" s="2350"/>
      <c r="H5" s="2350"/>
      <c r="I5" s="650"/>
      <c r="S5" s="618">
        <v>38</v>
      </c>
    </row>
    <row customHeight="1" ht="15.75">
      <c r="C6" s="289"/>
      <c r="D6" s="2289" t="str">
        <f>IF(org=0,"Не определено",org)</f>
        <v>МУП ЖКХ "Родник"</v>
      </c>
      <c r="E6" s="2289"/>
      <c r="F6" s="2289"/>
      <c r="G6" s="2289"/>
      <c r="H6" s="2289"/>
      <c r="I6" s="650"/>
      <c r="S6" s="618">
        <v>15</v>
      </c>
    </row>
    <row s="8273" customFormat="1" customHeight="1" ht="15.75">
      <c r="A7" s="872"/>
      <c r="C7" s="289"/>
      <c r="D7" s="789"/>
      <c r="E7" s="789"/>
      <c r="F7" s="789"/>
      <c r="G7" s="789"/>
      <c r="H7" s="865"/>
      <c r="I7" s="650"/>
      <c r="R7" s="788"/>
      <c r="S7" s="871">
        <v>15</v>
      </c>
    </row>
    <row customHeight="1" ht="1.05">
      <c r="C8" s="289"/>
      <c r="D8" s="622"/>
      <c r="E8" s="622"/>
      <c r="F8" s="622"/>
      <c r="G8" s="622"/>
      <c r="H8" s="650" t="s">
        <v>192</v>
      </c>
      <c r="S8" s="618">
        <v>1</v>
      </c>
    </row>
    <row customHeight="1" ht="15.75">
      <c r="C9" s="289"/>
      <c r="D9" s="824"/>
      <c r="E9" s="2480" t="s">
        <v>183</v>
      </c>
      <c r="F9" s="2481"/>
      <c r="G9" s="929" t="str">
        <f>IF(G8="","",INDEX(DIFFERENTIATION_UNMERGE_VD,MATCH(G8,DIFFERENTIATION_ID_DIFF,0)))</f>
        <v/>
      </c>
      <c r="H9" s="929">
        <f>IF(H8="","",INDEX(DIFFERENTIATION_UNMERGE_VD,MATCH(H8,DIFFERENTIATION_ID_DIFF,0)))</f>
        <v>0</v>
      </c>
      <c r="I9" s="2240" t="s">
        <v>429</v>
      </c>
      <c r="S9" s="618">
        <v>15</v>
      </c>
    </row>
    <row s="8273" customFormat="1" customHeight="1" ht="15.75">
      <c r="A10" s="872"/>
      <c r="C10" s="289"/>
      <c r="D10" s="824"/>
      <c r="E10" s="2480" t="s">
        <v>693</v>
      </c>
      <c r="F10" s="2481"/>
      <c r="G10" s="929" t="str">
        <f>IF(G8="","",INDEX(DIFFERENTIATION_UNMERGE_AREA,MATCH(G8,DIFFERENTIATION_ID_DIFF,0)))</f>
        <v/>
      </c>
      <c r="H10" s="929" t="str">
        <f>IF(H8="","",INDEX(DIFFERENTIATION_UNMERGE_AREA,MATCH(H8,DIFFERENTIATION_ID_DIFF,0)))</f>
        <v/>
      </c>
      <c r="I10" s="2240"/>
      <c r="R10" s="788"/>
      <c r="S10" s="871">
        <v>15</v>
      </c>
    </row>
    <row s="8273" customFormat="1" customHeight="1" ht="15.75">
      <c r="A11" s="872"/>
      <c r="C11" s="289"/>
      <c r="D11" s="824"/>
      <c r="E11" s="2480" t="s">
        <v>694</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8273" customFormat="1" customHeight="1" ht="15.75">
      <c r="A12" s="872"/>
      <c r="C12" s="289"/>
      <c r="D12" s="2482" t="s">
        <v>428</v>
      </c>
      <c r="E12" s="2483"/>
      <c r="F12" s="2483"/>
      <c r="G12" s="1000"/>
      <c r="H12" s="1000"/>
      <c r="I12" s="2240"/>
      <c r="R12" s="788"/>
      <c r="S12" s="871">
        <v>15</v>
      </c>
    </row>
    <row customHeight="1" ht="35.699999999999996">
      <c r="C13" s="289"/>
      <c r="D13" s="874" t="s">
        <v>88</v>
      </c>
      <c r="E13" s="873" t="s">
        <v>430</v>
      </c>
      <c r="F13" s="873" t="s">
        <v>695</v>
      </c>
      <c r="G13" s="921" t="s">
        <v>431</v>
      </c>
      <c r="H13" s="867" t="s">
        <v>431</v>
      </c>
      <c r="I13" s="2240"/>
      <c r="S13" s="618">
        <v>34</v>
      </c>
    </row>
    <row customHeight="1" ht="15" hidden="1">
      <c r="C14" s="289"/>
      <c r="D14" s="706" t="s">
        <v>187</v>
      </c>
      <c r="E14" s="706" t="s">
        <v>104</v>
      </c>
      <c r="F14" s="706" t="s">
        <v>90</v>
      </c>
      <c r="G14" s="772" t="str">
        <f>G1&amp;".1"</f>
        <v>.1</v>
      </c>
      <c r="H14" s="772" t="str">
        <f>H1&amp;".1"</f>
        <v>4.1</v>
      </c>
      <c r="I14" s="402"/>
      <c r="S14" s="618">
        <v>0</v>
      </c>
    </row>
    <row customHeight="1" ht="15.75">
      <c r="A15" s="618"/>
      <c r="C15" s="639"/>
      <c r="D15" s="634">
        <v>1</v>
      </c>
      <c r="E15" s="2043" t="str">
        <f>TP_P_A</f>
        <v>Количество поданных заявлений </v>
      </c>
      <c r="F15" s="634" t="s">
        <v>1243</v>
      </c>
      <c r="G15" s="798"/>
      <c r="H15" s="798"/>
      <c r="I15" s="32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618">
        <v>15</v>
      </c>
    </row>
    <row customHeight="1" ht="15.75">
      <c r="A16" s="618"/>
      <c r="C16" s="639"/>
      <c r="D16" s="634">
        <v>2</v>
      </c>
      <c r="E16" s="2043" t="str">
        <f>TP_P_B</f>
        <v>Количество исполненных заявлений </v>
      </c>
      <c r="F16" s="634" t="s">
        <v>1243</v>
      </c>
      <c r="G16" s="798"/>
      <c r="H16" s="798"/>
      <c r="I16" s="32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618">
        <v>15</v>
      </c>
    </row>
    <row customHeight="1" ht="77.7">
      <c r="A17" s="618"/>
      <c r="C17" s="639"/>
      <c r="D17" s="634">
        <v>3</v>
      </c>
      <c r="E17" s="20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34" t="s">
        <v>1243</v>
      </c>
      <c r="G17" s="798"/>
      <c r="H17" s="798"/>
      <c r="I17" s="321"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34" t="s">
        <v>434</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34" t="str">
        <f>IF(TEMPLATE_SPHERE="HEAT","Гкал/час","тыс. куб. м/сутки")</f>
        <v>тыс. куб. м/сутки</v>
      </c>
      <c r="G19" s="800">
        <f>SUM(G20:G22)</f>
        <v>0</v>
      </c>
      <c r="H19" s="800">
        <f>SUM(H20:H22)</f>
        <v>0</v>
      </c>
      <c r="I19" s="321"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618">
        <v>57</v>
      </c>
    </row>
    <row customHeight="1" ht="15" hidden="1">
      <c r="D20" s="622" t="s">
        <v>1244</v>
      </c>
      <c r="E20" s="801"/>
      <c r="F20" s="622"/>
      <c r="G20" s="622"/>
      <c r="H20" s="622"/>
      <c r="I20" s="1876"/>
      <c r="S20" s="618">
        <v>0</v>
      </c>
    </row>
    <row customHeight="1" ht="29.25">
      <c r="C21" s="564"/>
      <c r="D21" s="652" t="s">
        <v>441</v>
      </c>
      <c r="E21" s="783"/>
      <c r="F21" s="1874" t="str">
        <f>IF(TEMPLATE_SPHERE="HEAT","Гкал/час","тыс. куб. м/сутки")</f>
        <v>тыс. куб. м/сутки</v>
      </c>
      <c r="G21" s="793"/>
      <c r="H21" s="793"/>
      <c r="I21" s="228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618">
        <v>28</v>
      </c>
    </row>
    <row customHeight="1" ht="15.75">
      <c r="A22" s="618"/>
      <c r="C22" s="618"/>
      <c r="D22" s="460"/>
      <c r="E22" s="693" t="s">
        <v>1245</v>
      </c>
      <c r="F22" s="685"/>
      <c r="G22" s="685"/>
      <c r="H22" s="685"/>
      <c r="I22" s="2284"/>
      <c r="R22" s="618"/>
      <c r="S22" s="618">
        <v>15</v>
      </c>
    </row>
    <row customHeight="1" ht="22.5" hidden="1">
      <c r="A23" s="562" t="s">
        <v>82</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C711F-37A9-BD82-5564-AABDD4AEC0BF}"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9206" width="9.140625" hidden="1" customWidth="1"/>
    <col min="2" max="2" style="8354" width="9.140625" hidden="1" customWidth="1"/>
    <col min="3" max="3" style="9207" width="3.00390625" customWidth="1"/>
    <col min="4" max="4" style="8273" width="6.00390625" customWidth="1"/>
    <col min="5" max="6" style="8273" width="64.00390625" customWidth="1"/>
    <col min="7" max="7" style="8273" width="140.00390625" customWidth="1"/>
    <col min="8" max="8" style="8273" width="10.00390625" customWidth="1"/>
    <col min="9" max="10" style="8454" width="10.00390625" customWidth="1"/>
    <col min="11" max="16" style="8273" width="10.00390625" customWidth="1"/>
    <col min="17" max="17" style="8273"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68"/>
      <c r="F5" s="2568"/>
      <c r="G5" s="2569"/>
      <c r="Q5" s="196">
        <v>28</v>
      </c>
    </row>
    <row s="8273" customFormat="1" customHeight="1" ht="18.75">
      <c r="A6" s="995"/>
      <c r="B6" s="530"/>
      <c r="C6" s="489"/>
      <c r="D6" s="2570" t="str">
        <f>IF(org=0,"Не определено",org)</f>
        <v>МУП ЖКХ "Родник"</v>
      </c>
      <c r="E6" s="2571"/>
      <c r="F6" s="2571"/>
      <c r="G6" s="2572"/>
      <c r="I6" s="613"/>
      <c r="J6" s="613"/>
      <c r="Q6" s="871">
        <v>18</v>
      </c>
    </row>
    <row customHeight="1" ht="14.699999999999998">
      <c r="C7" s="209"/>
      <c r="D7" s="197"/>
      <c r="E7" s="208"/>
      <c r="F7" s="865"/>
      <c r="G7" s="306"/>
      <c r="Q7" s="196">
        <v>14</v>
      </c>
    </row>
    <row s="8273" customFormat="1" customHeight="1" ht="1.05">
      <c r="A8" s="1782"/>
      <c r="B8" s="1273"/>
      <c r="C8" s="489"/>
      <c r="D8" s="476"/>
      <c r="E8" s="502"/>
      <c r="F8" s="865"/>
      <c r="G8" s="306"/>
      <c r="I8" s="1737"/>
      <c r="J8" s="1737"/>
      <c r="Q8" s="1744">
        <v>1</v>
      </c>
    </row>
    <row customHeight="1" ht="14.699999999999998">
      <c r="C9" s="209"/>
      <c r="D9" s="2322" t="s">
        <v>428</v>
      </c>
      <c r="E9" s="2322"/>
      <c r="F9" s="2322"/>
      <c r="G9" s="2502" t="s">
        <v>429</v>
      </c>
      <c r="Q9" s="196">
        <v>14</v>
      </c>
    </row>
    <row customHeight="1" ht="24">
      <c r="C10" s="209"/>
      <c r="D10" s="218" t="s">
        <v>88</v>
      </c>
      <c r="E10" s="221" t="s">
        <v>430</v>
      </c>
      <c r="F10" s="221" t="s">
        <v>518</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11" t="s">
        <v>434</v>
      </c>
      <c r="G12" s="264"/>
      <c r="Q12" s="196">
        <v>62</v>
      </c>
    </row>
    <row customHeight="1" ht="24">
      <c r="A13" s="305"/>
      <c r="C13" s="209"/>
      <c r="D13" s="260" t="s">
        <v>1150</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434</v>
      </c>
      <c r="G13" s="264"/>
      <c r="Q13" s="196">
        <v>23</v>
      </c>
    </row>
    <row customHeight="1" ht="14.699999999999998">
      <c r="A14" s="305"/>
      <c r="C14" s="209"/>
      <c r="D14" s="260" t="s">
        <v>1186</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1246</v>
      </c>
      <c r="F15" s="314"/>
      <c r="G15" s="2284"/>
      <c r="Q15" s="196">
        <v>15</v>
      </c>
    </row>
    <row customHeight="1" ht="14.699999999999998">
      <c r="A16" s="305"/>
      <c r="C16" s="209"/>
      <c r="D16" s="260" t="s">
        <v>1152</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11" t="s">
        <v>434</v>
      </c>
      <c r="G16" s="450"/>
      <c r="Q16" s="196">
        <v>14</v>
      </c>
    </row>
    <row customHeight="1" ht="14.699999999999998">
      <c r="A17" s="305"/>
      <c r="C17" s="209"/>
      <c r="D17" s="260" t="s">
        <v>1194</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96">
        <v>14</v>
      </c>
    </row>
    <row s="8273" customFormat="1" customHeight="1" ht="22.049999999999997">
      <c r="A18" s="456"/>
      <c r="B18" s="259"/>
      <c r="C18" s="420"/>
      <c r="D18" s="460"/>
      <c r="E18" s="462" t="s">
        <v>1247</v>
      </c>
      <c r="F18" s="451"/>
      <c r="G18" s="2284"/>
      <c r="I18" s="463"/>
      <c r="J18" s="463"/>
      <c r="Q18" s="455">
        <v>21</v>
      </c>
    </row>
    <row s="8273" customFormat="1" customHeight="1" ht="256.5" hidden="1">
      <c r="A19" s="456"/>
      <c r="B19" s="530"/>
      <c r="C19" s="489"/>
      <c r="D19" s="997" t="s">
        <v>1154</v>
      </c>
      <c r="E19" s="996" t="s">
        <v>1248</v>
      </c>
      <c r="F19" s="498"/>
      <c r="G19" s="450" t="s">
        <v>1249</v>
      </c>
      <c r="I19" s="613"/>
      <c r="J19" s="613"/>
      <c r="Q19" s="871">
        <v>0</v>
      </c>
    </row>
    <row s="8273" customFormat="1" customHeight="1" ht="14.699999999999998">
      <c r="A20" s="456"/>
      <c r="B20" s="259"/>
      <c r="C20" s="420"/>
      <c r="D20" s="998">
        <v>2</v>
      </c>
      <c r="E20" s="443" t="s">
        <v>1250</v>
      </c>
      <c r="F20" s="311" t="s">
        <v>434</v>
      </c>
      <c r="G20" s="450"/>
      <c r="I20" s="463"/>
      <c r="J20" s="463"/>
      <c r="Q20" s="455">
        <v>14</v>
      </c>
    </row>
    <row s="8273" customFormat="1" customHeight="1" ht="18.75" hidden="1">
      <c r="A21" s="456"/>
      <c r="B21" s="259"/>
      <c r="C21" s="420"/>
      <c r="D21" s="446" t="s">
        <v>765</v>
      </c>
      <c r="E21" s="445"/>
      <c r="F21" s="444"/>
      <c r="G21" s="454"/>
      <c r="H21" s="447"/>
      <c r="I21" s="463"/>
      <c r="J21" s="463"/>
      <c r="Q21" s="455">
        <v>0</v>
      </c>
    </row>
    <row customHeight="1" ht="15.75">
      <c r="A22" s="305"/>
      <c r="C22" s="209"/>
      <c r="D22" s="222"/>
      <c r="E22" s="316" t="s">
        <v>450</v>
      </c>
      <c r="F22" s="451"/>
      <c r="G22" s="452"/>
      <c r="Q22" s="196">
        <v>15</v>
      </c>
    </row>
    <row s="8273" customFormat="1" customHeight="1" ht="22.5" hidden="1">
      <c r="A23" s="456"/>
      <c r="B23" s="1273"/>
      <c r="C23" s="489"/>
      <c r="D23" s="1786" t="s">
        <v>104</v>
      </c>
      <c r="E23" s="310" t="s">
        <v>1251</v>
      </c>
      <c r="F23" s="1783" t="s">
        <v>434</v>
      </c>
      <c r="G23" s="458"/>
      <c r="I23" s="1737"/>
      <c r="J23" s="1737"/>
      <c r="Q23" s="1744">
        <v>0</v>
      </c>
    </row>
    <row s="8273" customFormat="1" customHeight="1" ht="14.25" hidden="1">
      <c r="A24" s="456"/>
      <c r="B24" s="1273"/>
      <c r="C24" s="489"/>
      <c r="D24" s="1786" t="s">
        <v>837</v>
      </c>
      <c r="E24" s="1785" t="s">
        <v>1252</v>
      </c>
      <c r="F24" s="1783" t="s">
        <v>434</v>
      </c>
      <c r="G24" s="450"/>
      <c r="I24" s="1737"/>
      <c r="J24" s="1737"/>
      <c r="Q24" s="1744">
        <v>0</v>
      </c>
    </row>
    <row s="8273" customFormat="1" customHeight="1" ht="14.25" hidden="1">
      <c r="A25" s="456"/>
      <c r="B25" s="1273"/>
      <c r="C25" s="489"/>
      <c r="D25" s="1786" t="s">
        <v>840</v>
      </c>
      <c r="E25" s="308"/>
      <c r="F25" s="498"/>
      <c r="G25" s="2282" t="s">
        <v>1253</v>
      </c>
      <c r="I25" s="1737"/>
      <c r="J25" s="1737"/>
      <c r="Q25" s="1744">
        <v>0</v>
      </c>
    </row>
    <row s="8273" customFormat="1" customHeight="1" ht="22.5" hidden="1">
      <c r="A26" s="456"/>
      <c r="B26" s="1273"/>
      <c r="C26" s="489"/>
      <c r="D26" s="460"/>
      <c r="E26" s="462" t="s">
        <v>1254</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82</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3BA93-96D5-692F-CEC2-CF7F39FC6EC1}"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9205" width="9.140625" hidden="1" customWidth="1"/>
    <col min="2" max="2" style="8354" width="9.140625" hidden="1" customWidth="1"/>
    <col min="3" max="3" style="9207" width="3.00390625" customWidth="1"/>
    <col min="4" max="4" style="8273" width="6.00390625" customWidth="1"/>
    <col min="5" max="5" style="8273" width="63.00390625" customWidth="1"/>
    <col min="6" max="6" style="8273" width="1.7109375" hidden="1" customWidth="1"/>
    <col min="7" max="8" style="8273" width="35.00390625" customWidth="1"/>
    <col min="9" max="9" style="8273" width="91.00390625" customWidth="1"/>
    <col min="10" max="10" style="8273" width="68.00390625" customWidth="1"/>
    <col min="11" max="12" style="8454" width="10.00390625" customWidth="1"/>
    <col min="13" max="13" style="8273" width="10.57421875" hidden="1"/>
  </cols>
  <sheetData>
    <row customHeight="1" ht="22.5" hidden="1">
      <c r="M1" s="196" t="s">
        <v>14</v>
      </c>
    </row>
    <row s="8273" customFormat="1" customHeight="1" ht="18.75" hidden="1">
      <c r="A2" s="1796"/>
      <c r="B2" s="1273"/>
      <c r="C2" s="1843" t="s">
        <v>105</v>
      </c>
      <c r="D2" s="1786"/>
      <c r="E2" s="312"/>
      <c r="F2" s="1783"/>
      <c r="G2" s="1783" t="s">
        <v>434</v>
      </c>
      <c r="H2" s="1274"/>
      <c r="K2" s="1737"/>
      <c r="L2" s="1737"/>
      <c r="M2" s="1744">
        <v>0</v>
      </c>
    </row>
    <row s="8273" customFormat="1" customHeight="1" ht="14.25" hidden="1">
      <c r="A3" s="1475"/>
      <c r="B3" s="1273"/>
      <c r="C3" s="457"/>
      <c r="K3" s="1737"/>
      <c r="L3" s="1737"/>
      <c r="M3" s="1744">
        <v>0</v>
      </c>
    </row>
    <row s="8273" customFormat="1" customHeight="1" ht="18.75" hidden="1">
      <c r="A4" s="1796"/>
      <c r="B4" s="1273"/>
      <c r="C4" s="1843" t="s">
        <v>105</v>
      </c>
      <c r="D4" s="1786"/>
      <c r="E4" s="318" t="s">
        <v>1255</v>
      </c>
      <c r="F4" s="1783"/>
      <c r="G4" s="370"/>
      <c r="H4" s="1783" t="s">
        <v>434</v>
      </c>
      <c r="K4" s="1737"/>
      <c r="L4" s="1737"/>
      <c r="M4" s="1744">
        <v>0</v>
      </c>
    </row>
    <row s="8273" customFormat="1" customHeight="1" ht="14.25" hidden="1">
      <c r="A5" s="1475"/>
      <c r="B5" s="1273"/>
      <c r="C5" s="457"/>
      <c r="K5" s="1737"/>
      <c r="L5" s="1737"/>
      <c r="M5" s="1744">
        <v>0</v>
      </c>
    </row>
    <row s="8273" customFormat="1" customHeight="1" ht="18.75" hidden="1">
      <c r="A6" s="1796"/>
      <c r="B6" s="1273"/>
      <c r="C6" s="1843" t="s">
        <v>105</v>
      </c>
      <c r="D6" s="1786"/>
      <c r="E6" s="319" t="s">
        <v>1256</v>
      </c>
      <c r="F6" s="1783"/>
      <c r="G6" s="370"/>
      <c r="H6" s="1783" t="s">
        <v>434</v>
      </c>
      <c r="K6" s="1737"/>
      <c r="L6" s="1737"/>
      <c r="M6" s="1744">
        <v>0</v>
      </c>
    </row>
    <row s="8273" customFormat="1" customHeight="1" ht="14.25" hidden="1">
      <c r="A7" s="1475"/>
      <c r="B7" s="1273"/>
      <c r="C7" s="457"/>
      <c r="K7" s="1737"/>
      <c r="L7" s="1737"/>
      <c r="M7" s="1744">
        <v>0</v>
      </c>
    </row>
    <row s="8273" customFormat="1" customHeight="1" ht="18.75" hidden="1">
      <c r="A8" s="1796"/>
      <c r="B8" s="1273"/>
      <c r="C8" s="1843" t="s">
        <v>105</v>
      </c>
      <c r="D8" s="1786"/>
      <c r="E8" s="319" t="s">
        <v>1257</v>
      </c>
      <c r="F8" s="1783"/>
      <c r="G8" s="370"/>
      <c r="H8" s="1783" t="s">
        <v>434</v>
      </c>
      <c r="K8" s="1737"/>
      <c r="L8" s="1737"/>
      <c r="M8" s="1744">
        <v>0</v>
      </c>
    </row>
    <row s="8273" customFormat="1" customHeight="1" ht="14.25" hidden="1">
      <c r="A9" s="1475"/>
      <c r="B9" s="1273"/>
      <c r="C9" s="457"/>
      <c r="K9" s="1737"/>
      <c r="L9" s="1737"/>
      <c r="M9" s="1744">
        <v>0</v>
      </c>
    </row>
    <row s="8273" customFormat="1" customHeight="1" ht="18.75" hidden="1">
      <c r="A10" s="1796"/>
      <c r="B10" s="1273"/>
      <c r="C10" s="1843" t="s">
        <v>105</v>
      </c>
      <c r="D10" s="1786"/>
      <c r="E10" s="319" t="s">
        <v>1258</v>
      </c>
      <c r="F10" s="1783"/>
      <c r="G10" s="1787"/>
      <c r="H10" s="1783" t="s">
        <v>434</v>
      </c>
      <c r="K10" s="1737"/>
      <c r="L10" s="1737" t="s">
        <v>1259</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68"/>
      <c r="F14" s="2568"/>
      <c r="G14" s="2568"/>
      <c r="H14" s="2569"/>
      <c r="J14" s="1744"/>
      <c r="M14" s="196">
        <v>28</v>
      </c>
    </row>
    <row s="8273" customFormat="1" customHeight="1" ht="14.699999999999998">
      <c r="A15" s="1475"/>
      <c r="B15" s="1273"/>
      <c r="C15" s="489"/>
      <c r="D15" s="2570" t="str">
        <f>IF(org=0,"Не определено",org)</f>
        <v>МУП ЖКХ "Родник"</v>
      </c>
      <c r="E15" s="2571"/>
      <c r="F15" s="2571"/>
      <c r="G15" s="2571"/>
      <c r="H15" s="2572"/>
      <c r="J15" s="965"/>
      <c r="K15" s="1737"/>
      <c r="L15" s="1737"/>
      <c r="M15" s="1744">
        <v>14</v>
      </c>
    </row>
    <row customHeight="1" ht="14.699999999999998">
      <c r="C16" s="209"/>
      <c r="D16" s="197"/>
      <c r="E16" s="208"/>
      <c r="F16" s="208"/>
      <c r="G16" s="208"/>
      <c r="H16" s="865"/>
      <c r="I16" s="306"/>
      <c r="M16" s="196">
        <v>14</v>
      </c>
    </row>
    <row s="8273" customFormat="1" customHeight="1" ht="14.25" hidden="1">
      <c r="A17" s="1475"/>
      <c r="B17" s="1273"/>
      <c r="C17" s="489"/>
      <c r="D17" s="476"/>
      <c r="E17" s="502"/>
      <c r="F17" s="502"/>
      <c r="G17" s="502"/>
      <c r="H17" s="865"/>
      <c r="I17" s="306"/>
      <c r="K17" s="1737"/>
      <c r="L17" s="1737"/>
      <c r="M17" s="1744">
        <v>0</v>
      </c>
    </row>
    <row customHeight="1" ht="22.049999999999997">
      <c r="C18" s="209"/>
      <c r="D18" s="2322" t="s">
        <v>428</v>
      </c>
      <c r="E18" s="2322"/>
      <c r="F18" s="2322"/>
      <c r="G18" s="2322"/>
      <c r="H18" s="2322"/>
      <c r="I18" s="2502" t="s">
        <v>429</v>
      </c>
      <c r="M18" s="196">
        <v>21</v>
      </c>
    </row>
    <row customHeight="1" ht="22.049999999999997">
      <c r="C19" s="209"/>
      <c r="D19" s="218" t="s">
        <v>88</v>
      </c>
      <c r="E19" s="221" t="s">
        <v>430</v>
      </c>
      <c r="F19" s="221"/>
      <c r="G19" s="221" t="s">
        <v>431</v>
      </c>
      <c r="H19" s="221" t="s">
        <v>518</v>
      </c>
      <c r="I19" s="2502"/>
      <c r="M19" s="196">
        <v>21</v>
      </c>
    </row>
    <row customHeight="1" ht="12" hidden="1">
      <c r="C20" s="209"/>
      <c r="D20" s="200"/>
      <c r="E20" s="200"/>
      <c r="F20" s="200"/>
      <c r="G20" s="200"/>
      <c r="H20" s="200"/>
      <c r="I20" s="200"/>
      <c r="M20" s="196">
        <v>0</v>
      </c>
    </row>
    <row customHeight="1" ht="14.699999999999998">
      <c r="A21" s="1796"/>
      <c r="C21" s="209"/>
      <c r="D21" s="260">
        <v>1</v>
      </c>
      <c r="E21" s="2574" t="s">
        <v>1260</v>
      </c>
      <c r="F21" s="2574"/>
      <c r="G21" s="2574"/>
      <c r="H21" s="2574"/>
      <c r="I21" s="321"/>
      <c r="M21" s="196">
        <v>14</v>
      </c>
    </row>
    <row customHeight="1" ht="21">
      <c r="A22" s="1796"/>
      <c r="C22" s="209"/>
      <c r="D22" s="260" t="s">
        <v>1150</v>
      </c>
      <c r="E22" s="307" t="s">
        <v>1261</v>
      </c>
      <c r="F22" s="311"/>
      <c r="G22" s="1850"/>
      <c r="H22" s="311" t="s">
        <v>434</v>
      </c>
      <c r="I22" s="264" t="s">
        <v>1262</v>
      </c>
      <c r="M22" s="196">
        <v>20</v>
      </c>
    </row>
    <row customHeight="1" ht="60">
      <c r="A23" s="1796"/>
      <c r="C23" s="209"/>
      <c r="D23" s="260" t="s">
        <v>1152</v>
      </c>
      <c r="E23" s="307" t="s">
        <v>1263</v>
      </c>
      <c r="F23" s="311"/>
      <c r="G23" s="370"/>
      <c r="H23" s="326"/>
      <c r="I23" s="371" t="s">
        <v>1264</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11"/>
      <c r="G24" s="311" t="s">
        <v>434</v>
      </c>
      <c r="H24" s="326"/>
      <c r="I24" s="372" t="s">
        <v>760</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73"/>
      <c r="G25" s="2573"/>
      <c r="H25" s="2573"/>
      <c r="I25" s="369"/>
      <c r="M25" s="196">
        <v>46</v>
      </c>
    </row>
    <row customHeight="1" ht="14.699999999999998">
      <c r="A26" s="1796"/>
      <c r="C26" s="209"/>
      <c r="D26" s="260" t="s">
        <v>452</v>
      </c>
      <c r="E26" s="312"/>
      <c r="F26" s="311"/>
      <c r="G26" s="311" t="s">
        <v>434</v>
      </c>
      <c r="H26" s="326"/>
      <c r="I26" s="2282" t="s">
        <v>1265</v>
      </c>
      <c r="M26" s="196">
        <v>14</v>
      </c>
    </row>
    <row customHeight="1" ht="15.75">
      <c r="A27" s="1796" t="s">
        <v>187</v>
      </c>
      <c r="C27" s="209"/>
      <c r="D27" s="222"/>
      <c r="E27" s="316" t="s">
        <v>450</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73"/>
      <c r="G28" s="2573"/>
      <c r="H28" s="2573"/>
      <c r="I28" s="369"/>
      <c r="M28" s="196">
        <v>38</v>
      </c>
    </row>
    <row customHeight="1" ht="21">
      <c r="A29" s="1796"/>
      <c r="C29" s="209"/>
      <c r="D29" s="260" t="s">
        <v>882</v>
      </c>
      <c r="E29" s="318" t="s">
        <v>1255</v>
      </c>
      <c r="F29" s="311"/>
      <c r="G29" s="370"/>
      <c r="H29" s="311" t="s">
        <v>434</v>
      </c>
      <c r="I29" s="2282" t="s">
        <v>1266</v>
      </c>
      <c r="M29" s="196">
        <v>20</v>
      </c>
    </row>
    <row customHeight="1" ht="15.75">
      <c r="A30" s="1796" t="s">
        <v>104</v>
      </c>
      <c r="C30" s="209"/>
      <c r="D30" s="222"/>
      <c r="E30" s="316" t="s">
        <v>450</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73"/>
      <c r="G31" s="2573"/>
      <c r="H31" s="2573"/>
      <c r="I31" s="369"/>
      <c r="M31" s="196">
        <v>30</v>
      </c>
    </row>
    <row customHeight="1" ht="27.299999999999997">
      <c r="A32" s="1796"/>
      <c r="C32" s="209"/>
      <c r="D32" s="260" t="s">
        <v>441</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16"/>
      <c r="G32" s="2516"/>
      <c r="H32" s="2516"/>
      <c r="I32" s="369"/>
      <c r="M32" s="196">
        <v>26</v>
      </c>
    </row>
    <row customHeight="1" ht="14.699999999999998">
      <c r="A33" s="1796"/>
      <c r="C33" s="209"/>
      <c r="D33" s="260" t="s">
        <v>1267</v>
      </c>
      <c r="E33" s="319" t="s">
        <v>1256</v>
      </c>
      <c r="F33" s="311"/>
      <c r="G33" s="370"/>
      <c r="H33" s="311" t="s">
        <v>434</v>
      </c>
      <c r="I33" s="2282" t="s">
        <v>1268</v>
      </c>
      <c r="M33" s="196">
        <v>14</v>
      </c>
    </row>
    <row customHeight="1" ht="15.75">
      <c r="A34" s="1796" t="s">
        <v>90</v>
      </c>
      <c r="C34" s="209"/>
      <c r="D34" s="222"/>
      <c r="E34" s="317" t="s">
        <v>450</v>
      </c>
      <c r="F34" s="313"/>
      <c r="G34" s="313"/>
      <c r="H34" s="314"/>
      <c r="I34" s="2284"/>
      <c r="M34" s="196">
        <v>15</v>
      </c>
    </row>
    <row customHeight="1" ht="25.2">
      <c r="A35" s="1796"/>
      <c r="C35" s="209"/>
      <c r="D35" s="260" t="s">
        <v>1010</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16"/>
      <c r="G35" s="2516"/>
      <c r="H35" s="2516"/>
      <c r="I35" s="369"/>
      <c r="M35" s="196">
        <v>24</v>
      </c>
    </row>
    <row customHeight="1" ht="14.699999999999998">
      <c r="A36" s="1796"/>
      <c r="C36" s="209"/>
      <c r="D36" s="260" t="s">
        <v>1269</v>
      </c>
      <c r="E36" s="319" t="s">
        <v>1257</v>
      </c>
      <c r="F36" s="311"/>
      <c r="G36" s="370"/>
      <c r="H36" s="311" t="s">
        <v>434</v>
      </c>
      <c r="I36" s="2256" t="s">
        <v>1270</v>
      </c>
      <c r="M36" s="196">
        <v>14</v>
      </c>
    </row>
    <row customHeight="1" ht="15.75">
      <c r="A37" s="1796" t="s">
        <v>91</v>
      </c>
      <c r="C37" s="209"/>
      <c r="D37" s="222"/>
      <c r="E37" s="317" t="s">
        <v>450</v>
      </c>
      <c r="F37" s="313"/>
      <c r="G37" s="313"/>
      <c r="H37" s="314"/>
      <c r="I37" s="2256"/>
      <c r="M37" s="196">
        <v>15</v>
      </c>
    </row>
    <row customHeight="1" ht="27.299999999999997">
      <c r="A38" s="1796"/>
      <c r="C38" s="209"/>
      <c r="D38" s="260" t="s">
        <v>1011</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16"/>
      <c r="G38" s="2516"/>
      <c r="H38" s="2516"/>
      <c r="I38" s="369"/>
      <c r="M38" s="196">
        <v>26</v>
      </c>
    </row>
    <row customHeight="1" ht="14.699999999999998">
      <c r="A39" s="1796"/>
      <c r="C39" s="209"/>
      <c r="D39" s="260" t="s">
        <v>1012</v>
      </c>
      <c r="E39" s="319" t="s">
        <v>1258</v>
      </c>
      <c r="F39" s="311"/>
      <c r="G39" s="320"/>
      <c r="H39" s="311" t="s">
        <v>434</v>
      </c>
      <c r="I39" s="2282" t="s">
        <v>1271</v>
      </c>
      <c r="L39" s="268" t="s">
        <v>1259</v>
      </c>
      <c r="M39" s="196">
        <v>14</v>
      </c>
    </row>
    <row customHeight="1" ht="15.75">
      <c r="A40" s="1796" t="s">
        <v>118</v>
      </c>
      <c r="C40" s="209"/>
      <c r="D40" s="222"/>
      <c r="E40" s="317" t="s">
        <v>450</v>
      </c>
      <c r="F40" s="313"/>
      <c r="G40" s="313"/>
      <c r="H40" s="314"/>
      <c r="I40" s="2284"/>
      <c r="M40" s="196">
        <v>15</v>
      </c>
    </row>
    <row s="12963" customFormat="1" customHeight="1" ht="3">
      <c r="A41" s="1796"/>
      <c r="K41" s="309"/>
      <c r="L41" s="309"/>
      <c r="M41" s="253">
        <v>3</v>
      </c>
    </row>
    <row customHeight="1" ht="26.25">
      <c r="D42" s="1794" t="s">
        <v>932</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98"/>
      <c r="G42" s="2398"/>
      <c r="H42" s="2398"/>
      <c r="I42" s="2398"/>
      <c r="M42" s="196">
        <v>25</v>
      </c>
    </row>
    <row customHeight="1" ht="22.5" hidden="1">
      <c r="A43" s="1475" t="s">
        <v>82</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ABF356-1E9E-2E6E-E649-469660F25635}" mc:Ignorable="x14ac xr xr2 xr3">
  <sheetPr>
    <tabColor theme="6" tint="0.4"/>
  </sheetPr>
  <dimension ref="A1:AH332"/>
  <sheetViews>
    <sheetView topLeftCell="A1" showGridLines="0" zoomScale="90" workbookViewId="0">
      <selection activeCell="K236" sqref="K236"/>
    </sheetView>
  </sheetViews>
  <sheetFormatPr defaultColWidth="10.57421875" customHeight="1" defaultRowHeight="14.25"/>
  <cols>
    <col min="1" max="2" style="13005" width="25.140625" hidden="1" customWidth="1"/>
    <col min="3" max="3" style="13006" width="9.140625" hidden="1" customWidth="1"/>
    <col min="4" max="4" style="9207" width="3.00390625" customWidth="1"/>
    <col min="5" max="5" style="8273" width="6.00390625" customWidth="1"/>
    <col min="6" max="6" style="8273" width="46.7109375" customWidth="1"/>
    <col min="7" max="7" style="8273" width="35.00390625" customWidth="1"/>
    <col min="8" max="8" style="8273" width="3.00390625" customWidth="1"/>
    <col min="9" max="10" style="8273" width="11.00390625" customWidth="1"/>
    <col min="11" max="12" style="8273" width="35.00390625" customWidth="1"/>
    <col min="13" max="13" style="8273" width="84.00390625" customWidth="1"/>
    <col min="14" max="14" style="8273" width="10.00390625" customWidth="1"/>
    <col min="15" max="16" style="8454" width="10.00390625" customWidth="1"/>
    <col min="17" max="33" style="8273" width="10.00390625" customWidth="1"/>
    <col min="34" max="34" style="8273" width="10.57421875" hidden="1"/>
  </cols>
  <sheetData>
    <row s="8273"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8273" customFormat="1" customHeight="1" ht="18.75" hidden="1">
      <c r="A2" s="1893" t="s">
        <v>224</v>
      </c>
      <c r="B2" s="1893" t="s">
        <v>225</v>
      </c>
      <c r="C2" s="482"/>
      <c r="D2" s="457"/>
      <c r="E2" s="1144"/>
      <c r="F2" s="1144"/>
      <c r="G2" s="2540" t="str">
        <f>INDEX(PT_DIFFERENTIATION_NTAR,MATCH(B2,PT_DIFFERENTIATION_NTAR_ID,0))</f>
        <v/>
      </c>
      <c r="H2" s="1977"/>
      <c r="I2" s="1852"/>
      <c r="J2" s="1886"/>
      <c r="K2" s="1978"/>
      <c r="L2" s="1977" t="s">
        <v>434</v>
      </c>
      <c r="M2" s="1988"/>
      <c r="N2" s="447"/>
      <c r="O2" s="1737"/>
      <c r="P2" s="1737"/>
      <c r="AH2" s="1744">
        <v>0</v>
      </c>
    </row>
    <row s="8273" customFormat="1" customHeight="1" ht="18.75" hidden="1">
      <c r="A3" s="1893"/>
      <c r="B3" s="1893"/>
      <c r="C3" s="482" t="s">
        <v>1272</v>
      </c>
      <c r="D3" s="457"/>
      <c r="E3" s="1144"/>
      <c r="F3" s="1144"/>
      <c r="G3" s="2540"/>
      <c r="H3" s="1613"/>
      <c r="I3" s="764" t="s">
        <v>1273</v>
      </c>
      <c r="J3" s="684"/>
      <c r="K3" s="1613"/>
      <c r="L3" s="327"/>
      <c r="M3" s="1988"/>
      <c r="N3" s="447"/>
      <c r="O3" s="1737"/>
      <c r="P3" s="1737"/>
      <c r="AH3" s="1744">
        <v>0</v>
      </c>
    </row>
    <row s="8273"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8273" customFormat="1" customHeight="1" ht="18.75" hidden="1">
      <c r="A5" s="1893" t="s">
        <v>224</v>
      </c>
      <c r="B5" s="1893" t="s">
        <v>225</v>
      </c>
      <c r="C5" s="482"/>
      <c r="D5" s="457"/>
      <c r="E5" s="1144"/>
      <c r="F5" s="1144"/>
      <c r="G5" s="2540" t="str">
        <f>INDEX(PT_DIFFERENTIATION_NTAR,MATCH(B5,PT_DIFFERENTIATION_NTAR_ID,0))</f>
        <v/>
      </c>
      <c r="H5" s="1977"/>
      <c r="I5" s="1852"/>
      <c r="J5" s="1886"/>
      <c r="K5" s="1891"/>
      <c r="L5" s="1977" t="s">
        <v>434</v>
      </c>
      <c r="M5" s="1988"/>
      <c r="N5" s="447"/>
      <c r="O5" s="1737"/>
      <c r="P5" s="1737"/>
      <c r="AH5" s="1744">
        <v>0</v>
      </c>
    </row>
    <row s="8273" customFormat="1" customHeight="1" ht="18.75" hidden="1">
      <c r="A6" s="1893"/>
      <c r="B6" s="1893"/>
      <c r="C6" s="482" t="s">
        <v>1274</v>
      </c>
      <c r="D6" s="457"/>
      <c r="E6" s="1144"/>
      <c r="F6" s="1144"/>
      <c r="G6" s="2540"/>
      <c r="H6" s="1613"/>
      <c r="I6" s="764" t="s">
        <v>1273</v>
      </c>
      <c r="J6" s="684"/>
      <c r="K6" s="1613"/>
      <c r="L6" s="327"/>
      <c r="M6" s="1988"/>
      <c r="N6" s="447"/>
      <c r="O6" s="1737"/>
      <c r="P6" s="1737"/>
      <c r="AH6" s="1744">
        <v>0</v>
      </c>
    </row>
    <row s="8273"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8273" customFormat="1" customHeight="1" ht="56.25" hidden="1">
      <c r="A8" s="1893"/>
      <c r="B8" s="1893"/>
      <c r="C8" s="482"/>
      <c r="D8" s="457"/>
      <c r="E8" s="1144"/>
      <c r="F8" s="1144"/>
      <c r="G8" s="1144"/>
      <c r="H8" s="1884"/>
      <c r="I8" s="1852"/>
      <c r="J8" s="1886"/>
      <c r="K8" s="1978"/>
      <c r="L8" s="1884" t="s">
        <v>434</v>
      </c>
      <c r="M8" s="1988"/>
      <c r="N8" s="447"/>
      <c r="O8" s="1737"/>
      <c r="P8" s="1737"/>
      <c r="AH8" s="1744">
        <v>0</v>
      </c>
    </row>
    <row customHeight="1" ht="14.25" hidden="1">
      <c r="T9" s="510"/>
      <c r="AG9" s="368"/>
      <c r="AH9" s="487">
        <v>0</v>
      </c>
    </row>
    <row s="8273" customFormat="1" customHeight="1" ht="56.25" hidden="1">
      <c r="A10" s="1893"/>
      <c r="B10" s="1893"/>
      <c r="C10" s="482"/>
      <c r="D10" s="457"/>
      <c r="E10" s="1144"/>
      <c r="F10" s="1144"/>
      <c r="G10" s="1144"/>
      <c r="H10" s="1883"/>
      <c r="I10" s="1852"/>
      <c r="J10" s="1886"/>
      <c r="K10" s="1891"/>
      <c r="L10" s="1884" t="s">
        <v>434</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изменении тарифов</v>
      </c>
      <c r="G16" s="2377" t="str">
        <f>IF(TITLE_DATE_PR_CHANGE="",IF(TITLE_DATE_PR="","",TITLE_DATE_PR),TITLE_DATE_PR_CHANGE)</f>
        <v>45586</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изменении тарифов</v>
      </c>
      <c r="G17" s="2364" t="str">
        <f>IF(TITLE_NUMBER_PR_CHANGE="",IF(TITLE_NUMBER_PR="","",TITLE_NUMBER_PR),TITLE_NUMBER_PR_CHANGE)</f>
        <v>1577</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428</v>
      </c>
      <c r="F19" s="2322"/>
      <c r="G19" s="2322"/>
      <c r="H19" s="2322"/>
      <c r="I19" s="2322"/>
      <c r="J19" s="2322"/>
      <c r="K19" s="2322"/>
      <c r="L19" s="2322"/>
      <c r="M19" s="2502" t="s">
        <v>429</v>
      </c>
      <c r="AH19" s="487">
        <v>21</v>
      </c>
    </row>
    <row customHeight="1" ht="22.049999999999997">
      <c r="D20" s="489"/>
      <c r="E20" s="2390" t="s">
        <v>88</v>
      </c>
      <c r="F20" s="2337" t="s">
        <v>197</v>
      </c>
      <c r="G20" s="2337" t="s">
        <v>198</v>
      </c>
      <c r="H20" s="2499" t="s">
        <v>1275</v>
      </c>
      <c r="I20" s="2500"/>
      <c r="J20" s="2546"/>
      <c r="K20" s="2337" t="s">
        <v>431</v>
      </c>
      <c r="L20" s="2337" t="s">
        <v>518</v>
      </c>
      <c r="M20" s="2502"/>
      <c r="AH20" s="487">
        <v>21</v>
      </c>
    </row>
    <row customHeight="1" ht="22.049999999999997">
      <c r="D21" s="489"/>
      <c r="E21" s="2392"/>
      <c r="F21" s="2338"/>
      <c r="G21" s="2338"/>
      <c r="H21" s="2331" t="s">
        <v>1276</v>
      </c>
      <c r="I21" s="2333"/>
      <c r="J21" s="221" t="s">
        <v>1277</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187</v>
      </c>
      <c r="F23" s="2581" t="str">
        <f>"Предлагаемый метод регулирования"&amp;IF(TEMPLATE_SPHERE="HEAT"," в сфере "&amp;TEMPLATE_SPHERE_RUS,"")</f>
        <v>Предлагаемый метод регулирования</v>
      </c>
      <c r="G23" s="2582"/>
      <c r="H23" s="2574"/>
      <c r="I23" s="2574"/>
      <c r="J23" s="2574"/>
      <c r="K23" s="2582" t="s">
        <v>434</v>
      </c>
      <c r="L23" s="2574"/>
      <c r="M23" s="1882"/>
      <c r="N23" s="447"/>
      <c r="AH23" s="487">
        <v>19</v>
      </c>
    </row>
    <row customHeight="1" ht="60.75" hidden="1">
      <c r="A24" s="1893" t="s">
        <v>224</v>
      </c>
      <c r="B24" s="1893" t="s">
        <v>225</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434</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8273" customFormat="1" customHeight="1" ht="18.75" hidden="1">
      <c r="A25" s="1893"/>
      <c r="B25" s="1893"/>
      <c r="C25" s="482" t="s">
        <v>1272</v>
      </c>
      <c r="D25" s="2579"/>
      <c r="E25" s="2317"/>
      <c r="F25" s="2583"/>
      <c r="G25" s="2540"/>
      <c r="H25" s="1613"/>
      <c r="I25" s="764" t="s">
        <v>1273</v>
      </c>
      <c r="J25" s="684"/>
      <c r="K25" s="1613"/>
      <c r="L25" s="327"/>
      <c r="M25" s="2283"/>
      <c r="N25" s="447"/>
      <c r="O25" s="1737"/>
      <c r="P25" s="1737"/>
      <c r="AH25" s="1744">
        <v>0</v>
      </c>
    </row>
    <row customHeight="1" ht="0.75" hidden="1">
      <c r="A26" s="1893"/>
      <c r="B26" s="1893"/>
      <c r="C26" s="482" t="s">
        <v>1278</v>
      </c>
      <c r="D26" s="2579"/>
      <c r="E26" s="2317"/>
      <c r="F26" s="2496"/>
      <c r="G26" s="513"/>
      <c r="H26" s="1613"/>
      <c r="I26" s="508"/>
      <c r="J26" s="462"/>
      <c r="K26" s="1613"/>
      <c r="L26" s="314"/>
      <c r="M26" s="2283"/>
      <c r="N26" s="447"/>
      <c r="AH26" s="487">
        <v>0</v>
      </c>
    </row>
    <row s="8273" customFormat="1" customHeight="1" ht="45" hidden="1">
      <c r="A27" s="1893" t="s">
        <v>229</v>
      </c>
      <c r="B27" s="1893" t="s">
        <v>230</v>
      </c>
      <c r="C27" s="482"/>
      <c r="D27" s="2575"/>
      <c r="E27" s="2576"/>
      <c r="F27" s="2577" t="str">
        <f>INDEX(PT_DIFFERENTIATION_VTAR,MATCH(A27,PT_DIFFERENTIATION_VTAR_ID,0))</f>
        <v/>
      </c>
      <c r="G27" s="2540" t="str">
        <f>INDEX(PT_DIFFERENTIATION_NTAR,MATCH(B27,PT_DIFFERENTIATION_NTAR_ID,0))</f>
        <v/>
      </c>
      <c r="H27" s="1975"/>
      <c r="I27" s="1852"/>
      <c r="J27" s="1886"/>
      <c r="K27" s="1978"/>
      <c r="L27" s="1975" t="s">
        <v>434</v>
      </c>
      <c r="M27" s="2283"/>
      <c r="N27" s="447"/>
      <c r="O27" s="1737"/>
      <c r="P27" s="1737"/>
      <c r="AH27" s="1744">
        <v>0</v>
      </c>
    </row>
    <row s="8273" customFormat="1" customHeight="1" ht="18.75" hidden="1">
      <c r="A28" s="1893"/>
      <c r="B28" s="1893"/>
      <c r="C28" s="482" t="s">
        <v>1272</v>
      </c>
      <c r="D28" s="2575"/>
      <c r="E28" s="2576"/>
      <c r="F28" s="2577"/>
      <c r="G28" s="2540"/>
      <c r="H28" s="1613"/>
      <c r="I28" s="764" t="s">
        <v>1273</v>
      </c>
      <c r="J28" s="684"/>
      <c r="K28" s="1613"/>
      <c r="L28" s="327"/>
      <c r="M28" s="2283"/>
      <c r="N28" s="447"/>
      <c r="O28" s="1737"/>
      <c r="P28" s="1737"/>
      <c r="AH28" s="1744">
        <v>0</v>
      </c>
    </row>
    <row s="8273" customFormat="1" customHeight="1" ht="0.75" hidden="1">
      <c r="A29" s="1893"/>
      <c r="B29" s="1893"/>
      <c r="C29" s="482" t="s">
        <v>1278</v>
      </c>
      <c r="D29" s="2575"/>
      <c r="E29" s="2317"/>
      <c r="F29" s="2496"/>
      <c r="G29" s="513"/>
      <c r="H29" s="1613"/>
      <c r="I29" s="764"/>
      <c r="J29" s="684"/>
      <c r="K29" s="1613"/>
      <c r="L29" s="327"/>
      <c r="M29" s="2283"/>
      <c r="N29" s="447"/>
      <c r="O29" s="1737"/>
      <c r="P29" s="1737"/>
      <c r="AH29" s="1744">
        <v>0</v>
      </c>
    </row>
    <row s="8273" customFormat="1" customHeight="1" ht="45" hidden="1">
      <c r="A30" s="1893" t="s">
        <v>236</v>
      </c>
      <c r="B30" s="1893" t="s">
        <v>237</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434</v>
      </c>
      <c r="M30" s="2283"/>
      <c r="N30" s="447"/>
      <c r="O30" s="1737"/>
      <c r="P30" s="1737"/>
      <c r="AH30" s="1744">
        <v>0</v>
      </c>
    </row>
    <row s="8273" customFormat="1" customHeight="1" ht="18.75" hidden="1">
      <c r="A31" s="1893"/>
      <c r="B31" s="1893"/>
      <c r="C31" s="482" t="s">
        <v>1272</v>
      </c>
      <c r="D31" s="2575"/>
      <c r="E31" s="2317"/>
      <c r="F31" s="2496"/>
      <c r="G31" s="2540"/>
      <c r="H31" s="1613"/>
      <c r="I31" s="764" t="s">
        <v>1273</v>
      </c>
      <c r="J31" s="684"/>
      <c r="K31" s="1613"/>
      <c r="L31" s="327"/>
      <c r="M31" s="2283"/>
      <c r="N31" s="447"/>
      <c r="O31" s="1737"/>
      <c r="P31" s="1737"/>
      <c r="AH31" s="1744">
        <v>0</v>
      </c>
    </row>
    <row s="8273" customFormat="1" customHeight="1" ht="0.75" hidden="1">
      <c r="A32" s="1893"/>
      <c r="B32" s="1893"/>
      <c r="C32" s="482" t="s">
        <v>1278</v>
      </c>
      <c r="D32" s="2575"/>
      <c r="E32" s="2317"/>
      <c r="F32" s="2496"/>
      <c r="G32" s="513"/>
      <c r="H32" s="1613"/>
      <c r="I32" s="764"/>
      <c r="J32" s="684"/>
      <c r="K32" s="1613"/>
      <c r="L32" s="327"/>
      <c r="M32" s="2283"/>
      <c r="N32" s="447"/>
      <c r="O32" s="1737"/>
      <c r="P32" s="1737"/>
      <c r="AH32" s="1744">
        <v>0</v>
      </c>
    </row>
    <row s="8273" customFormat="1" customHeight="1" ht="45" hidden="1">
      <c r="A33" s="1893" t="s">
        <v>242</v>
      </c>
      <c r="B33" s="1893" t="s">
        <v>243</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434</v>
      </c>
      <c r="M33" s="2283"/>
      <c r="N33" s="447"/>
      <c r="O33" s="1737"/>
      <c r="P33" s="1737"/>
      <c r="AH33" s="1744">
        <v>0</v>
      </c>
    </row>
    <row s="8273" customFormat="1" customHeight="1" ht="18.75" hidden="1">
      <c r="A34" s="1893"/>
      <c r="B34" s="1893"/>
      <c r="C34" s="482" t="s">
        <v>1272</v>
      </c>
      <c r="D34" s="2575"/>
      <c r="E34" s="2317"/>
      <c r="F34" s="2496"/>
      <c r="G34" s="2540"/>
      <c r="H34" s="1613"/>
      <c r="I34" s="764" t="s">
        <v>1273</v>
      </c>
      <c r="J34" s="684"/>
      <c r="K34" s="1613"/>
      <c r="L34" s="327"/>
      <c r="M34" s="2283"/>
      <c r="N34" s="447"/>
      <c r="O34" s="1737"/>
      <c r="P34" s="1737"/>
      <c r="AH34" s="1744">
        <v>0</v>
      </c>
    </row>
    <row s="8273" customFormat="1" customHeight="1" ht="0.75" hidden="1">
      <c r="A35" s="1893"/>
      <c r="B35" s="1893"/>
      <c r="C35" s="482" t="s">
        <v>1278</v>
      </c>
      <c r="D35" s="2575"/>
      <c r="E35" s="2317"/>
      <c r="F35" s="2496"/>
      <c r="G35" s="513"/>
      <c r="H35" s="1613"/>
      <c r="I35" s="764"/>
      <c r="J35" s="684"/>
      <c r="K35" s="1613"/>
      <c r="L35" s="327"/>
      <c r="M35" s="2283"/>
      <c r="N35" s="447"/>
      <c r="O35" s="1737"/>
      <c r="P35" s="1737"/>
      <c r="AH35" s="1744">
        <v>0</v>
      </c>
    </row>
    <row s="8273" customFormat="1" customHeight="1" ht="18.75" hidden="1">
      <c r="A36" s="1893" t="s">
        <v>248</v>
      </c>
      <c r="B36" s="1893" t="s">
        <v>249</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434</v>
      </c>
      <c r="M36" s="2283"/>
      <c r="N36" s="447"/>
      <c r="O36" s="1737"/>
      <c r="P36" s="1737"/>
      <c r="AH36" s="1744">
        <v>0</v>
      </c>
    </row>
    <row s="8273" customFormat="1" customHeight="1" ht="18.75" hidden="1">
      <c r="A37" s="1893"/>
      <c r="B37" s="1893"/>
      <c r="C37" s="482" t="s">
        <v>1272</v>
      </c>
      <c r="D37" s="2575"/>
      <c r="E37" s="2317"/>
      <c r="F37" s="2496"/>
      <c r="G37" s="2540"/>
      <c r="H37" s="1613"/>
      <c r="I37" s="764" t="s">
        <v>1273</v>
      </c>
      <c r="J37" s="684"/>
      <c r="K37" s="1613"/>
      <c r="L37" s="327"/>
      <c r="M37" s="2283"/>
      <c r="N37" s="447"/>
      <c r="O37" s="1737"/>
      <c r="P37" s="1737"/>
      <c r="AH37" s="1744">
        <v>0</v>
      </c>
    </row>
    <row s="8273" customFormat="1" customHeight="1" ht="0.75" hidden="1">
      <c r="A38" s="1893"/>
      <c r="B38" s="1893"/>
      <c r="C38" s="482" t="s">
        <v>1278</v>
      </c>
      <c r="D38" s="2575"/>
      <c r="E38" s="2317"/>
      <c r="F38" s="2496"/>
      <c r="G38" s="513"/>
      <c r="H38" s="1613"/>
      <c r="I38" s="764"/>
      <c r="J38" s="684"/>
      <c r="K38" s="1613"/>
      <c r="L38" s="327"/>
      <c r="M38" s="2283"/>
      <c r="N38" s="447"/>
      <c r="O38" s="1737"/>
      <c r="P38" s="1737"/>
      <c r="AH38" s="1744">
        <v>0</v>
      </c>
    </row>
    <row s="8273" customFormat="1" customHeight="1" ht="18.75" hidden="1">
      <c r="A39" s="1893" t="s">
        <v>254</v>
      </c>
      <c r="B39" s="1893" t="s">
        <v>255</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434</v>
      </c>
      <c r="M39" s="2283"/>
      <c r="N39" s="447"/>
      <c r="O39" s="1737"/>
      <c r="P39" s="1737"/>
      <c r="AH39" s="1744">
        <v>0</v>
      </c>
    </row>
    <row s="8273" customFormat="1" customHeight="1" ht="18.75" hidden="1">
      <c r="A40" s="1893"/>
      <c r="B40" s="1893"/>
      <c r="C40" s="482" t="s">
        <v>1272</v>
      </c>
      <c r="D40" s="2575"/>
      <c r="E40" s="2317"/>
      <c r="F40" s="2496"/>
      <c r="G40" s="2540"/>
      <c r="H40" s="1613"/>
      <c r="I40" s="764" t="s">
        <v>1273</v>
      </c>
      <c r="J40" s="684"/>
      <c r="K40" s="1613"/>
      <c r="L40" s="327"/>
      <c r="M40" s="2283"/>
      <c r="N40" s="447"/>
      <c r="O40" s="1737"/>
      <c r="P40" s="1737"/>
      <c r="AH40" s="1744">
        <v>0</v>
      </c>
    </row>
    <row s="8273" customFormat="1" customHeight="1" ht="0.75" hidden="1">
      <c r="A41" s="1893"/>
      <c r="B41" s="1893"/>
      <c r="C41" s="482" t="s">
        <v>1278</v>
      </c>
      <c r="D41" s="2575"/>
      <c r="E41" s="2317"/>
      <c r="F41" s="2496"/>
      <c r="G41" s="513"/>
      <c r="H41" s="1613"/>
      <c r="I41" s="764"/>
      <c r="J41" s="684"/>
      <c r="K41" s="1613"/>
      <c r="L41" s="327"/>
      <c r="M41" s="2283"/>
      <c r="N41" s="447"/>
      <c r="O41" s="1737"/>
      <c r="P41" s="1737"/>
      <c r="AH41" s="1744">
        <v>0</v>
      </c>
    </row>
    <row s="8273" customFormat="1" customHeight="1" ht="18.75" hidden="1">
      <c r="A42" s="1893" t="s">
        <v>260</v>
      </c>
      <c r="B42" s="1893" t="s">
        <v>261</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434</v>
      </c>
      <c r="M42" s="2283"/>
      <c r="N42" s="447"/>
      <c r="O42" s="1737"/>
      <c r="P42" s="1737"/>
      <c r="AH42" s="1744">
        <v>0</v>
      </c>
    </row>
    <row s="8273" customFormat="1" customHeight="1" ht="18.75" hidden="1">
      <c r="A43" s="1893"/>
      <c r="B43" s="1893"/>
      <c r="C43" s="482" t="s">
        <v>1272</v>
      </c>
      <c r="D43" s="2575"/>
      <c r="E43" s="2317"/>
      <c r="F43" s="2496"/>
      <c r="G43" s="2540"/>
      <c r="H43" s="1613"/>
      <c r="I43" s="764" t="s">
        <v>1273</v>
      </c>
      <c r="J43" s="684"/>
      <c r="K43" s="1613"/>
      <c r="L43" s="327"/>
      <c r="M43" s="2283"/>
      <c r="N43" s="447"/>
      <c r="O43" s="1737"/>
      <c r="P43" s="1737"/>
      <c r="AH43" s="1744">
        <v>0</v>
      </c>
    </row>
    <row s="8273" customFormat="1" customHeight="1" ht="0.75" hidden="1">
      <c r="A44" s="1893"/>
      <c r="B44" s="1893"/>
      <c r="C44" s="482" t="s">
        <v>1278</v>
      </c>
      <c r="D44" s="2575"/>
      <c r="E44" s="2317"/>
      <c r="F44" s="2496"/>
      <c r="G44" s="513"/>
      <c r="H44" s="1613"/>
      <c r="I44" s="764"/>
      <c r="J44" s="684"/>
      <c r="K44" s="1613"/>
      <c r="L44" s="327"/>
      <c r="M44" s="2283"/>
      <c r="N44" s="447"/>
      <c r="O44" s="1737"/>
      <c r="P44" s="1737"/>
      <c r="AH44" s="1744">
        <v>0</v>
      </c>
    </row>
    <row s="8273" customFormat="1" customHeight="1" ht="18.75" hidden="1">
      <c r="A45" s="1893" t="s">
        <v>266</v>
      </c>
      <c r="B45" s="1893" t="s">
        <v>267</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434</v>
      </c>
      <c r="M45" s="2283"/>
      <c r="N45" s="447"/>
      <c r="O45" s="1737"/>
      <c r="P45" s="1737"/>
      <c r="AH45" s="1744">
        <v>0</v>
      </c>
    </row>
    <row s="8273" customFormat="1" customHeight="1" ht="18.75" hidden="1">
      <c r="A46" s="1893"/>
      <c r="B46" s="1893"/>
      <c r="C46" s="482" t="s">
        <v>1272</v>
      </c>
      <c r="D46" s="2575"/>
      <c r="E46" s="2317"/>
      <c r="F46" s="2496"/>
      <c r="G46" s="2540"/>
      <c r="H46" s="1613"/>
      <c r="I46" s="764" t="s">
        <v>1273</v>
      </c>
      <c r="J46" s="684"/>
      <c r="K46" s="1613"/>
      <c r="L46" s="327"/>
      <c r="M46" s="2283"/>
      <c r="N46" s="447"/>
      <c r="O46" s="1737"/>
      <c r="P46" s="1737"/>
      <c r="AH46" s="1744">
        <v>0</v>
      </c>
    </row>
    <row s="8273" customFormat="1" customHeight="1" ht="0.75" hidden="1">
      <c r="A47" s="1893"/>
      <c r="B47" s="1893"/>
      <c r="C47" s="482" t="s">
        <v>1278</v>
      </c>
      <c r="D47" s="2575"/>
      <c r="E47" s="2317"/>
      <c r="F47" s="2496"/>
      <c r="G47" s="513"/>
      <c r="H47" s="1613"/>
      <c r="I47" s="764"/>
      <c r="J47" s="684"/>
      <c r="K47" s="1613"/>
      <c r="L47" s="327"/>
      <c r="M47" s="2283"/>
      <c r="N47" s="447"/>
      <c r="O47" s="1737"/>
      <c r="P47" s="1737"/>
      <c r="AH47" s="1744">
        <v>0</v>
      </c>
    </row>
    <row s="8273" customFormat="1" customHeight="1" ht="18.75" hidden="1">
      <c r="A48" s="1893" t="s">
        <v>272</v>
      </c>
      <c r="B48" s="1893" t="s">
        <v>273</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434</v>
      </c>
      <c r="M48" s="2283"/>
      <c r="N48" s="447"/>
      <c r="O48" s="1737"/>
      <c r="P48" s="1737"/>
      <c r="AH48" s="1744">
        <v>0</v>
      </c>
    </row>
    <row s="8273" customFormat="1" customHeight="1" ht="18.75" hidden="1">
      <c r="A49" s="1893"/>
      <c r="B49" s="1893"/>
      <c r="C49" s="482" t="s">
        <v>1272</v>
      </c>
      <c r="D49" s="2575"/>
      <c r="E49" s="2317"/>
      <c r="F49" s="2496"/>
      <c r="G49" s="2540"/>
      <c r="H49" s="1613"/>
      <c r="I49" s="764" t="s">
        <v>1273</v>
      </c>
      <c r="J49" s="684"/>
      <c r="K49" s="1613"/>
      <c r="L49" s="327"/>
      <c r="M49" s="2283"/>
      <c r="N49" s="447"/>
      <c r="O49" s="1737"/>
      <c r="P49" s="1737"/>
      <c r="AH49" s="1744">
        <v>0</v>
      </c>
    </row>
    <row s="8273" customFormat="1" customHeight="1" ht="0.75" hidden="1">
      <c r="A50" s="1893"/>
      <c r="B50" s="1893"/>
      <c r="C50" s="482" t="s">
        <v>1278</v>
      </c>
      <c r="D50" s="2575"/>
      <c r="E50" s="2317"/>
      <c r="F50" s="2496"/>
      <c r="G50" s="513"/>
      <c r="H50" s="1613"/>
      <c r="I50" s="764"/>
      <c r="J50" s="684"/>
      <c r="K50" s="1613"/>
      <c r="L50" s="327"/>
      <c r="M50" s="2283"/>
      <c r="N50" s="447"/>
      <c r="O50" s="1737"/>
      <c r="P50" s="1737"/>
      <c r="AH50" s="1744">
        <v>0</v>
      </c>
    </row>
    <row s="8273" customFormat="1" customHeight="1" ht="18.75">
      <c r="A51" s="1893" t="s">
        <v>294</v>
      </c>
      <c r="B51" s="1893" t="s">
        <v>295</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Питьевая вода</v>
      </c>
      <c r="H51" s="1975"/>
      <c r="I51" s="7504">
        <v>45658</v>
      </c>
      <c r="J51" s="7505">
        <v>46022</v>
      </c>
      <c r="K51" s="1978" t="s">
        <v>1279</v>
      </c>
      <c r="L51" s="1975" t="s">
        <v>434</v>
      </c>
      <c r="M51" s="2283"/>
      <c r="N51" s="447"/>
      <c r="O51" s="1737"/>
      <c r="P51" s="1737"/>
      <c r="AH51" s="1744">
        <v>0</v>
      </c>
    </row>
    <row s="8273" customFormat="1" customHeight="1" ht="18.75">
      <c r="A52" s="1893"/>
      <c r="B52" s="1893"/>
      <c r="C52" s="482" t="s">
        <v>1272</v>
      </c>
      <c r="D52" s="2575"/>
      <c r="E52" s="2317"/>
      <c r="F52" s="2496"/>
      <c r="G52" s="2540"/>
      <c r="H52" s="1613"/>
      <c r="I52" s="764" t="s">
        <v>1273</v>
      </c>
      <c r="J52" s="684"/>
      <c r="K52" s="1613"/>
      <c r="L52" s="327"/>
      <c r="M52" s="2283"/>
      <c r="N52" s="447"/>
      <c r="O52" s="1737"/>
      <c r="P52" s="1737"/>
      <c r="AH52" s="1744">
        <v>0</v>
      </c>
    </row>
    <row s="8273" customFormat="1" customHeight="1" ht="0.75">
      <c r="A53" s="1893"/>
      <c r="B53" s="1893"/>
      <c r="C53" s="482" t="s">
        <v>1278</v>
      </c>
      <c r="D53" s="2575"/>
      <c r="E53" s="2317"/>
      <c r="F53" s="2496"/>
      <c r="G53" s="513"/>
      <c r="H53" s="1613"/>
      <c r="I53" s="764"/>
      <c r="J53" s="684"/>
      <c r="K53" s="1613"/>
      <c r="L53" s="327"/>
      <c r="M53" s="2283"/>
      <c r="N53" s="447"/>
      <c r="O53" s="1737"/>
      <c r="P53" s="1737"/>
      <c r="AH53" s="1744">
        <v>0</v>
      </c>
    </row>
    <row s="8273" customFormat="1" customHeight="1" ht="18.75" hidden="1">
      <c r="A54" s="1893" t="s">
        <v>358</v>
      </c>
      <c r="B54" s="1893" t="s">
        <v>359</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434</v>
      </c>
      <c r="M54" s="2283"/>
      <c r="N54" s="447"/>
      <c r="O54" s="1737"/>
      <c r="P54" s="1737"/>
      <c r="AH54" s="1744">
        <v>0</v>
      </c>
    </row>
    <row s="8273" customFormat="1" customHeight="1" ht="18.75" hidden="1">
      <c r="A55" s="1893"/>
      <c r="B55" s="1893"/>
      <c r="C55" s="482" t="s">
        <v>1272</v>
      </c>
      <c r="D55" s="2575"/>
      <c r="E55" s="2317"/>
      <c r="F55" s="2496"/>
      <c r="G55" s="2540"/>
      <c r="H55" s="1613"/>
      <c r="I55" s="764" t="s">
        <v>1273</v>
      </c>
      <c r="J55" s="684"/>
      <c r="K55" s="1613"/>
      <c r="L55" s="327"/>
      <c r="M55" s="2283"/>
      <c r="N55" s="447"/>
      <c r="O55" s="1737"/>
      <c r="P55" s="1737"/>
      <c r="AH55" s="1744">
        <v>0</v>
      </c>
    </row>
    <row s="8273" customFormat="1" customHeight="1" ht="0.75" hidden="1">
      <c r="A56" s="1893"/>
      <c r="B56" s="1893"/>
      <c r="C56" s="482" t="s">
        <v>1278</v>
      </c>
      <c r="D56" s="2575"/>
      <c r="E56" s="2317"/>
      <c r="F56" s="2496"/>
      <c r="G56" s="513"/>
      <c r="H56" s="1613"/>
      <c r="I56" s="764"/>
      <c r="J56" s="684"/>
      <c r="K56" s="1613"/>
      <c r="L56" s="327"/>
      <c r="M56" s="2283"/>
      <c r="N56" s="447"/>
      <c r="O56" s="1737"/>
      <c r="P56" s="1737"/>
      <c r="AH56" s="1744">
        <v>0</v>
      </c>
    </row>
    <row s="8273" customFormat="1" customHeight="1" ht="18.75" hidden="1">
      <c r="A57" s="1893" t="s">
        <v>363</v>
      </c>
      <c r="B57" s="1893" t="s">
        <v>364</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434</v>
      </c>
      <c r="M57" s="2283"/>
      <c r="N57" s="447"/>
      <c r="O57" s="1737"/>
      <c r="P57" s="1737"/>
      <c r="AH57" s="1744">
        <v>0</v>
      </c>
    </row>
    <row s="8273" customFormat="1" customHeight="1" ht="18.75" hidden="1">
      <c r="A58" s="1893"/>
      <c r="B58" s="1893"/>
      <c r="C58" s="482" t="s">
        <v>1272</v>
      </c>
      <c r="D58" s="2575"/>
      <c r="E58" s="2317"/>
      <c r="F58" s="2496"/>
      <c r="G58" s="2540"/>
      <c r="H58" s="1613"/>
      <c r="I58" s="764" t="s">
        <v>1273</v>
      </c>
      <c r="J58" s="684"/>
      <c r="K58" s="1613"/>
      <c r="L58" s="327"/>
      <c r="M58" s="2283"/>
      <c r="N58" s="447"/>
      <c r="O58" s="1737"/>
      <c r="P58" s="1737"/>
      <c r="AH58" s="1744">
        <v>0</v>
      </c>
    </row>
    <row s="8273" customFormat="1" customHeight="1" ht="0.75" hidden="1">
      <c r="A59" s="1893"/>
      <c r="B59" s="1893"/>
      <c r="C59" s="482" t="s">
        <v>1278</v>
      </c>
      <c r="D59" s="2575"/>
      <c r="E59" s="2317"/>
      <c r="F59" s="2496"/>
      <c r="G59" s="513"/>
      <c r="H59" s="1613"/>
      <c r="I59" s="764"/>
      <c r="J59" s="684"/>
      <c r="K59" s="1613"/>
      <c r="L59" s="327"/>
      <c r="M59" s="2283"/>
      <c r="N59" s="447"/>
      <c r="O59" s="1737"/>
      <c r="P59" s="1737"/>
      <c r="AH59" s="1744">
        <v>0</v>
      </c>
    </row>
    <row s="8273" customFormat="1" customHeight="1" ht="18.75" hidden="1">
      <c r="A60" s="1893" t="s">
        <v>368</v>
      </c>
      <c r="B60" s="1893" t="s">
        <v>369</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434</v>
      </c>
      <c r="M60" s="2283"/>
      <c r="N60" s="447"/>
      <c r="O60" s="1737"/>
      <c r="P60" s="1737"/>
      <c r="AH60" s="1744">
        <v>0</v>
      </c>
    </row>
    <row s="8273" customFormat="1" customHeight="1" ht="18.75" hidden="1">
      <c r="A61" s="1893"/>
      <c r="B61" s="1893"/>
      <c r="C61" s="482" t="s">
        <v>1272</v>
      </c>
      <c r="D61" s="2575"/>
      <c r="E61" s="2317"/>
      <c r="F61" s="2496"/>
      <c r="G61" s="2540"/>
      <c r="H61" s="1613"/>
      <c r="I61" s="764" t="s">
        <v>1273</v>
      </c>
      <c r="J61" s="684"/>
      <c r="K61" s="1613"/>
      <c r="L61" s="327"/>
      <c r="M61" s="2283"/>
      <c r="N61" s="447"/>
      <c r="O61" s="1737"/>
      <c r="P61" s="1737"/>
      <c r="AH61" s="1744">
        <v>0</v>
      </c>
    </row>
    <row s="8273" customFormat="1" customHeight="1" ht="0.75" hidden="1">
      <c r="A62" s="1893"/>
      <c r="B62" s="1893"/>
      <c r="C62" s="482" t="s">
        <v>1278</v>
      </c>
      <c r="D62" s="2575"/>
      <c r="E62" s="2317"/>
      <c r="F62" s="2496"/>
      <c r="G62" s="513"/>
      <c r="H62" s="1613"/>
      <c r="I62" s="764"/>
      <c r="J62" s="684"/>
      <c r="K62" s="1613"/>
      <c r="L62" s="327"/>
      <c r="M62" s="2283"/>
      <c r="N62" s="447"/>
      <c r="O62" s="1737"/>
      <c r="P62" s="1737"/>
      <c r="AH62" s="1744">
        <v>0</v>
      </c>
    </row>
    <row s="8273" customFormat="1" customHeight="1" ht="18.75" hidden="1">
      <c r="A63" s="1893" t="s">
        <v>373</v>
      </c>
      <c r="B63" s="1893" t="s">
        <v>374</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434</v>
      </c>
      <c r="M63" s="2283"/>
      <c r="N63" s="447"/>
      <c r="O63" s="1737"/>
      <c r="P63" s="1737"/>
      <c r="AH63" s="1744">
        <v>0</v>
      </c>
    </row>
    <row s="8273" customFormat="1" customHeight="1" ht="18.75" hidden="1">
      <c r="A64" s="1893"/>
      <c r="B64" s="1893"/>
      <c r="C64" s="482" t="s">
        <v>1272</v>
      </c>
      <c r="D64" s="2575"/>
      <c r="E64" s="2317"/>
      <c r="F64" s="2496"/>
      <c r="G64" s="2540"/>
      <c r="H64" s="1613"/>
      <c r="I64" s="764" t="s">
        <v>1273</v>
      </c>
      <c r="J64" s="684"/>
      <c r="K64" s="1613"/>
      <c r="L64" s="327"/>
      <c r="M64" s="2283"/>
      <c r="N64" s="447"/>
      <c r="O64" s="1737"/>
      <c r="P64" s="1737"/>
      <c r="AH64" s="1744">
        <v>0</v>
      </c>
    </row>
    <row s="8273" customFormat="1" customHeight="1" ht="0.75" hidden="1">
      <c r="A65" s="1893"/>
      <c r="B65" s="1893"/>
      <c r="C65" s="482" t="s">
        <v>1278</v>
      </c>
      <c r="D65" s="2575"/>
      <c r="E65" s="2317"/>
      <c r="F65" s="2496"/>
      <c r="G65" s="513"/>
      <c r="H65" s="1613"/>
      <c r="I65" s="764"/>
      <c r="J65" s="684"/>
      <c r="K65" s="1613"/>
      <c r="L65" s="327"/>
      <c r="M65" s="2283"/>
      <c r="N65" s="447"/>
      <c r="O65" s="1737"/>
      <c r="P65" s="1737"/>
      <c r="AH65" s="1744">
        <v>0</v>
      </c>
    </row>
    <row s="8273" customFormat="1" customHeight="1" ht="18.75" hidden="1">
      <c r="A66" s="1893" t="s">
        <v>378</v>
      </c>
      <c r="B66" s="1893" t="s">
        <v>379</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434</v>
      </c>
      <c r="M66" s="2283"/>
      <c r="N66" s="447"/>
      <c r="O66" s="1737"/>
      <c r="P66" s="1737"/>
      <c r="AH66" s="1744">
        <v>0</v>
      </c>
    </row>
    <row s="8273" customFormat="1" customHeight="1" ht="18.75" hidden="1">
      <c r="A67" s="1893"/>
      <c r="B67" s="1893"/>
      <c r="C67" s="482" t="s">
        <v>1272</v>
      </c>
      <c r="D67" s="2575"/>
      <c r="E67" s="2317"/>
      <c r="F67" s="2496"/>
      <c r="G67" s="2540"/>
      <c r="H67" s="1613"/>
      <c r="I67" s="764" t="s">
        <v>1273</v>
      </c>
      <c r="J67" s="684"/>
      <c r="K67" s="1613"/>
      <c r="L67" s="327"/>
      <c r="M67" s="2283"/>
      <c r="N67" s="447"/>
      <c r="O67" s="1737"/>
      <c r="P67" s="1737"/>
      <c r="AH67" s="1744">
        <v>0</v>
      </c>
    </row>
    <row s="8273" customFormat="1" customHeight="1" ht="0.75" hidden="1">
      <c r="A68" s="1893"/>
      <c r="B68" s="1893"/>
      <c r="C68" s="482" t="s">
        <v>1278</v>
      </c>
      <c r="D68" s="2575"/>
      <c r="E68" s="2317"/>
      <c r="F68" s="2496"/>
      <c r="G68" s="513"/>
      <c r="H68" s="1613"/>
      <c r="I68" s="764"/>
      <c r="J68" s="684"/>
      <c r="K68" s="1613"/>
      <c r="L68" s="327"/>
      <c r="M68" s="2283"/>
      <c r="N68" s="447"/>
      <c r="O68" s="1737"/>
      <c r="P68" s="1737"/>
      <c r="AH68" s="1744">
        <v>0</v>
      </c>
    </row>
    <row s="8273" customFormat="1" customHeight="1" ht="18.75" hidden="1">
      <c r="A69" s="1893" t="s">
        <v>383</v>
      </c>
      <c r="B69" s="1893" t="s">
        <v>384</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434</v>
      </c>
      <c r="M69" s="2283"/>
      <c r="N69" s="447"/>
      <c r="O69" s="1737"/>
      <c r="P69" s="1737"/>
      <c r="AH69" s="1744">
        <v>0</v>
      </c>
    </row>
    <row s="8273" customFormat="1" customHeight="1" ht="18.75" hidden="1">
      <c r="A70" s="1893"/>
      <c r="B70" s="1893"/>
      <c r="C70" s="482" t="s">
        <v>1272</v>
      </c>
      <c r="D70" s="2575"/>
      <c r="E70" s="2317"/>
      <c r="F70" s="2496"/>
      <c r="G70" s="2540"/>
      <c r="H70" s="1613"/>
      <c r="I70" s="764" t="s">
        <v>1273</v>
      </c>
      <c r="J70" s="684"/>
      <c r="K70" s="1613"/>
      <c r="L70" s="327"/>
      <c r="M70" s="2283"/>
      <c r="N70" s="447"/>
      <c r="O70" s="1737"/>
      <c r="P70" s="1737"/>
      <c r="AH70" s="1744">
        <v>0</v>
      </c>
    </row>
    <row s="8273" customFormat="1" customHeight="1" ht="0.75" hidden="1">
      <c r="A71" s="1893"/>
      <c r="B71" s="1893"/>
      <c r="C71" s="482" t="s">
        <v>1278</v>
      </c>
      <c r="D71" s="2575"/>
      <c r="E71" s="2317"/>
      <c r="F71" s="2496"/>
      <c r="G71" s="513"/>
      <c r="H71" s="1613"/>
      <c r="I71" s="764"/>
      <c r="J71" s="684"/>
      <c r="K71" s="1613"/>
      <c r="L71" s="327"/>
      <c r="M71" s="2283"/>
      <c r="N71" s="447"/>
      <c r="O71" s="1737"/>
      <c r="P71" s="1737"/>
      <c r="AH71" s="1744">
        <v>0</v>
      </c>
    </row>
    <row s="8273" customFormat="1" customHeight="1" ht="18.75" hidden="1">
      <c r="A72" s="1893" t="s">
        <v>388</v>
      </c>
      <c r="B72" s="1893" t="s">
        <v>389</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434</v>
      </c>
      <c r="M72" s="2283"/>
      <c r="N72" s="447"/>
      <c r="O72" s="1737"/>
      <c r="P72" s="1737"/>
      <c r="AH72" s="1744">
        <v>0</v>
      </c>
    </row>
    <row s="8273" customFormat="1" customHeight="1" ht="18.75" hidden="1">
      <c r="A73" s="1893"/>
      <c r="B73" s="1893"/>
      <c r="C73" s="482" t="s">
        <v>1272</v>
      </c>
      <c r="D73" s="2575"/>
      <c r="E73" s="2317"/>
      <c r="F73" s="2496"/>
      <c r="G73" s="2540"/>
      <c r="H73" s="1613"/>
      <c r="I73" s="764" t="s">
        <v>1273</v>
      </c>
      <c r="J73" s="684"/>
      <c r="K73" s="1613"/>
      <c r="L73" s="327"/>
      <c r="M73" s="2283"/>
      <c r="N73" s="447"/>
      <c r="O73" s="1737"/>
      <c r="P73" s="1737"/>
      <c r="AH73" s="1744">
        <v>0</v>
      </c>
    </row>
    <row s="8273" customFormat="1" customHeight="1" ht="0.75" hidden="1">
      <c r="A74" s="1893"/>
      <c r="B74" s="1893"/>
      <c r="C74" s="482" t="s">
        <v>1278</v>
      </c>
      <c r="D74" s="2575"/>
      <c r="E74" s="2317"/>
      <c r="F74" s="2496"/>
      <c r="G74" s="513"/>
      <c r="H74" s="1613"/>
      <c r="I74" s="764"/>
      <c r="J74" s="684"/>
      <c r="K74" s="1613"/>
      <c r="L74" s="327"/>
      <c r="M74" s="2283"/>
      <c r="N74" s="447"/>
      <c r="O74" s="1737"/>
      <c r="P74" s="1737"/>
      <c r="AH74" s="1744">
        <v>0</v>
      </c>
    </row>
    <row s="8273" customFormat="1" customHeight="1" ht="18.75" hidden="1">
      <c r="A75" s="1893" t="s">
        <v>393</v>
      </c>
      <c r="B75" s="1893" t="s">
        <v>394</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434</v>
      </c>
      <c r="M75" s="2283"/>
      <c r="N75" s="447"/>
      <c r="O75" s="1737"/>
      <c r="P75" s="1737"/>
      <c r="AH75" s="1744">
        <v>0</v>
      </c>
    </row>
    <row s="8273" customFormat="1" customHeight="1" ht="18.75" hidden="1">
      <c r="A76" s="1893"/>
      <c r="B76" s="1893"/>
      <c r="C76" s="482" t="s">
        <v>1272</v>
      </c>
      <c r="D76" s="2575"/>
      <c r="E76" s="2317"/>
      <c r="F76" s="2496"/>
      <c r="G76" s="2540"/>
      <c r="H76" s="1613"/>
      <c r="I76" s="764" t="s">
        <v>1273</v>
      </c>
      <c r="J76" s="684"/>
      <c r="K76" s="1613"/>
      <c r="L76" s="327"/>
      <c r="M76" s="2283"/>
      <c r="N76" s="447"/>
      <c r="O76" s="1737"/>
      <c r="P76" s="1737"/>
      <c r="AH76" s="1744">
        <v>0</v>
      </c>
    </row>
    <row s="8273" customFormat="1" customHeight="1" ht="0.75" hidden="1">
      <c r="A77" s="1893"/>
      <c r="B77" s="1893"/>
      <c r="C77" s="482" t="s">
        <v>1278</v>
      </c>
      <c r="D77" s="2575"/>
      <c r="E77" s="2317"/>
      <c r="F77" s="2496"/>
      <c r="G77" s="513"/>
      <c r="H77" s="1613"/>
      <c r="I77" s="764"/>
      <c r="J77" s="684"/>
      <c r="K77" s="1613"/>
      <c r="L77" s="327"/>
      <c r="M77" s="2283"/>
      <c r="N77" s="447"/>
      <c r="O77" s="1737"/>
      <c r="P77" s="1737"/>
      <c r="AH77" s="1744">
        <v>0</v>
      </c>
    </row>
    <row s="8273" customFormat="1" customHeight="1" ht="18.75" hidden="1">
      <c r="A78" s="1893" t="s">
        <v>398</v>
      </c>
      <c r="B78" s="1893" t="s">
        <v>399</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434</v>
      </c>
      <c r="M78" s="2283"/>
      <c r="N78" s="447"/>
      <c r="O78" s="1737"/>
      <c r="P78" s="1737"/>
      <c r="AH78" s="1744">
        <v>0</v>
      </c>
    </row>
    <row s="8273" customFormat="1" customHeight="1" ht="18.75" hidden="1">
      <c r="A79" s="1893"/>
      <c r="B79" s="1893"/>
      <c r="C79" s="482" t="s">
        <v>1272</v>
      </c>
      <c r="D79" s="2575"/>
      <c r="E79" s="2317"/>
      <c r="F79" s="2496"/>
      <c r="G79" s="2540"/>
      <c r="H79" s="1613"/>
      <c r="I79" s="764" t="s">
        <v>1273</v>
      </c>
      <c r="J79" s="684"/>
      <c r="K79" s="1613"/>
      <c r="L79" s="327"/>
      <c r="M79" s="2283"/>
      <c r="N79" s="447"/>
      <c r="O79" s="1737"/>
      <c r="P79" s="1737"/>
      <c r="AH79" s="1744">
        <v>0</v>
      </c>
    </row>
    <row s="8273" customFormat="1" customHeight="1" ht="0.75" hidden="1">
      <c r="A80" s="1893"/>
      <c r="B80" s="1893"/>
      <c r="C80" s="482" t="s">
        <v>1278</v>
      </c>
      <c r="D80" s="2575"/>
      <c r="E80" s="2317"/>
      <c r="F80" s="2496"/>
      <c r="G80" s="513"/>
      <c r="H80" s="1613"/>
      <c r="I80" s="764"/>
      <c r="J80" s="684"/>
      <c r="K80" s="1613"/>
      <c r="L80" s="327"/>
      <c r="M80" s="2283"/>
      <c r="N80" s="447"/>
      <c r="O80" s="1737"/>
      <c r="P80" s="1737"/>
      <c r="AH80" s="1744">
        <v>0</v>
      </c>
    </row>
    <row s="8273" customFormat="1" customHeight="1" ht="18.75" hidden="1">
      <c r="A81" s="1893" t="s">
        <v>403</v>
      </c>
      <c r="B81" s="1893" t="s">
        <v>404</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434</v>
      </c>
      <c r="M81" s="2283"/>
      <c r="N81" s="447"/>
      <c r="O81" s="1737"/>
      <c r="P81" s="1737"/>
      <c r="AH81" s="1744">
        <v>0</v>
      </c>
    </row>
    <row s="8273" customFormat="1" customHeight="1" ht="18.75" hidden="1">
      <c r="A82" s="1893"/>
      <c r="B82" s="1893"/>
      <c r="C82" s="482" t="s">
        <v>1272</v>
      </c>
      <c r="D82" s="2575"/>
      <c r="E82" s="2317"/>
      <c r="F82" s="2496"/>
      <c r="G82" s="2540"/>
      <c r="H82" s="1613"/>
      <c r="I82" s="764" t="s">
        <v>1273</v>
      </c>
      <c r="J82" s="684"/>
      <c r="K82" s="1613"/>
      <c r="L82" s="327"/>
      <c r="M82" s="2283"/>
      <c r="N82" s="447"/>
      <c r="O82" s="1737"/>
      <c r="P82" s="1737"/>
      <c r="AH82" s="1744">
        <v>0</v>
      </c>
    </row>
    <row s="8273" customFormat="1" customHeight="1" ht="1.05">
      <c r="A83" s="1893"/>
      <c r="B83" s="1893"/>
      <c r="C83" s="482" t="s">
        <v>1278</v>
      </c>
      <c r="D83" s="2575"/>
      <c r="E83" s="2317"/>
      <c r="F83" s="2496"/>
      <c r="G83" s="513"/>
      <c r="H83" s="1613"/>
      <c r="I83" s="764"/>
      <c r="J83" s="684"/>
      <c r="K83" s="1613"/>
      <c r="L83" s="327"/>
      <c r="M83" s="2283"/>
      <c r="N83" s="447"/>
      <c r="O83" s="1737"/>
      <c r="P83" s="1737"/>
      <c r="AH83" s="1744">
        <v>1</v>
      </c>
    </row>
    <row customHeight="1" ht="19.95">
      <c r="A84" s="1893"/>
      <c r="B84" s="1893"/>
      <c r="D84" s="489"/>
      <c r="E84" s="260" t="s">
        <v>104</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73"/>
      <c r="H84" s="2573"/>
      <c r="I84" s="2573"/>
      <c r="J84" s="2573"/>
      <c r="K84" s="2573"/>
      <c r="L84" s="2573"/>
      <c r="M84" s="410"/>
      <c r="N84" s="447"/>
      <c r="AH84" s="487">
        <v>19</v>
      </c>
    </row>
    <row customHeight="1" ht="36">
      <c r="A85" s="1893"/>
      <c r="B85" s="1893"/>
      <c r="D85" s="489"/>
      <c r="E85" s="512"/>
      <c r="F85" s="311" t="s">
        <v>434</v>
      </c>
      <c r="G85" s="311" t="s">
        <v>434</v>
      </c>
      <c r="H85" s="2331" t="s">
        <v>434</v>
      </c>
      <c r="I85" s="2333"/>
      <c r="J85" s="311" t="s">
        <v>434</v>
      </c>
      <c r="K85" s="311" t="s">
        <v>434</v>
      </c>
      <c r="L85" s="7507" t="s">
        <v>1280</v>
      </c>
      <c r="M85" s="458" t="s">
        <v>1281</v>
      </c>
      <c r="N85" s="447"/>
      <c r="AH85" s="487">
        <v>34</v>
      </c>
    </row>
    <row customHeight="1" ht="19.95">
      <c r="A86" s="1893"/>
      <c r="B86" s="1893"/>
      <c r="D86" s="489"/>
      <c r="E86" s="260" t="s">
        <v>90</v>
      </c>
      <c r="F86" s="2573" t="s">
        <v>1282</v>
      </c>
      <c r="G86" s="2573"/>
      <c r="H86" s="2573"/>
      <c r="I86" s="2573"/>
      <c r="J86" s="2573"/>
      <c r="K86" s="2573"/>
      <c r="L86" s="2573"/>
      <c r="M86" s="410"/>
      <c r="N86" s="447"/>
      <c r="AH86" s="487">
        <v>19</v>
      </c>
    </row>
    <row s="8273" customFormat="1" customHeight="1" ht="60.75" hidden="1">
      <c r="A87" s="1893" t="s">
        <v>224</v>
      </c>
      <c r="B87" s="1893" t="s">
        <v>225</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434</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8273" customFormat="1" customHeight="1" ht="18.75" hidden="1">
      <c r="A88" s="1893"/>
      <c r="B88" s="1893"/>
      <c r="C88" s="482" t="s">
        <v>1274</v>
      </c>
      <c r="D88" s="2575"/>
      <c r="E88" s="2317"/>
      <c r="F88" s="2496"/>
      <c r="G88" s="2540"/>
      <c r="H88" s="1613"/>
      <c r="I88" s="764" t="s">
        <v>1273</v>
      </c>
      <c r="J88" s="684"/>
      <c r="K88" s="1613"/>
      <c r="L88" s="327"/>
      <c r="M88" s="2283"/>
      <c r="N88" s="447"/>
      <c r="O88" s="1737"/>
      <c r="P88" s="1737"/>
      <c r="AH88" s="1744">
        <v>0</v>
      </c>
    </row>
    <row s="8273" customFormat="1" customHeight="1" ht="0.75" hidden="1">
      <c r="A89" s="1893"/>
      <c r="B89" s="1893"/>
      <c r="C89" s="482" t="s">
        <v>1283</v>
      </c>
      <c r="D89" s="2575"/>
      <c r="E89" s="2317"/>
      <c r="F89" s="2496"/>
      <c r="G89" s="513"/>
      <c r="H89" s="1613"/>
      <c r="I89" s="764"/>
      <c r="J89" s="684"/>
      <c r="K89" s="1613"/>
      <c r="L89" s="327"/>
      <c r="M89" s="2283"/>
      <c r="N89" s="447"/>
      <c r="O89" s="1737"/>
      <c r="P89" s="1737"/>
      <c r="AH89" s="1744">
        <v>0</v>
      </c>
    </row>
    <row s="8273" customFormat="1" customHeight="1" ht="45" hidden="1">
      <c r="A90" s="1893" t="s">
        <v>229</v>
      </c>
      <c r="B90" s="1893" t="s">
        <v>230</v>
      </c>
      <c r="C90" s="482"/>
      <c r="D90" s="2575"/>
      <c r="E90" s="2317"/>
      <c r="F90" s="2496" t="str">
        <f>INDEX(PT_DIFFERENTIATION_VTAR,MATCH(A90,PT_DIFFERENTIATION_VTAR_ID,0))</f>
        <v/>
      </c>
      <c r="G90" s="2540" t="str">
        <f>INDEX(PT_DIFFERENTIATION_NTAR,MATCH(B90,PT_DIFFERENTIATION_NTAR_ID,0))</f>
        <v/>
      </c>
      <c r="H90" s="1975"/>
      <c r="I90" s="1852"/>
      <c r="J90" s="1886"/>
      <c r="K90" s="1891"/>
      <c r="L90" s="1975" t="s">
        <v>434</v>
      </c>
      <c r="M90" s="2284"/>
      <c r="N90" s="447"/>
      <c r="O90" s="1737"/>
      <c r="P90" s="1737"/>
      <c r="AH90" s="1744">
        <v>0</v>
      </c>
    </row>
    <row s="8273" customFormat="1" customHeight="1" ht="18.75" hidden="1">
      <c r="A91" s="1893"/>
      <c r="B91" s="1893"/>
      <c r="C91" s="482" t="s">
        <v>1274</v>
      </c>
      <c r="D91" s="2575"/>
      <c r="E91" s="2317"/>
      <c r="F91" s="2496"/>
      <c r="G91" s="2540"/>
      <c r="H91" s="1613"/>
      <c r="I91" s="764" t="s">
        <v>1273</v>
      </c>
      <c r="J91" s="684"/>
      <c r="K91" s="1613"/>
      <c r="L91" s="327"/>
      <c r="M91" s="1974"/>
      <c r="N91" s="447"/>
      <c r="O91" s="1737"/>
      <c r="P91" s="1737"/>
      <c r="AH91" s="1744">
        <v>0</v>
      </c>
    </row>
    <row s="8273" customFormat="1" customHeight="1" ht="0.75" hidden="1">
      <c r="A92" s="1893"/>
      <c r="B92" s="1893"/>
      <c r="C92" s="482" t="s">
        <v>1283</v>
      </c>
      <c r="D92" s="2575"/>
      <c r="E92" s="2317"/>
      <c r="F92" s="2496"/>
      <c r="G92" s="513"/>
      <c r="H92" s="1613"/>
      <c r="I92" s="764"/>
      <c r="J92" s="684"/>
      <c r="K92" s="1613"/>
      <c r="L92" s="327"/>
      <c r="M92" s="454"/>
      <c r="N92" s="447"/>
      <c r="O92" s="1737"/>
      <c r="P92" s="1737"/>
      <c r="AH92" s="1744">
        <v>0</v>
      </c>
    </row>
    <row s="8273" customFormat="1" customHeight="1" ht="45" hidden="1">
      <c r="A93" s="1893" t="s">
        <v>236</v>
      </c>
      <c r="B93" s="1893" t="s">
        <v>237</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434</v>
      </c>
      <c r="M93" s="454"/>
      <c r="N93" s="447"/>
      <c r="O93" s="1737"/>
      <c r="P93" s="1737"/>
      <c r="AH93" s="1744">
        <v>0</v>
      </c>
    </row>
    <row s="8273" customFormat="1" customHeight="1" ht="18.75" hidden="1">
      <c r="A94" s="1893"/>
      <c r="B94" s="1893"/>
      <c r="C94" s="482" t="s">
        <v>1274</v>
      </c>
      <c r="D94" s="2575"/>
      <c r="E94" s="2317"/>
      <c r="F94" s="2496"/>
      <c r="G94" s="2540"/>
      <c r="H94" s="1613"/>
      <c r="I94" s="764" t="s">
        <v>1273</v>
      </c>
      <c r="J94" s="684"/>
      <c r="K94" s="1613"/>
      <c r="L94" s="327"/>
      <c r="M94" s="454"/>
      <c r="N94" s="447"/>
      <c r="O94" s="1737"/>
      <c r="P94" s="1737"/>
      <c r="AH94" s="1744">
        <v>0</v>
      </c>
    </row>
    <row s="8273" customFormat="1" customHeight="1" ht="0.75" hidden="1">
      <c r="A95" s="1893"/>
      <c r="B95" s="1893"/>
      <c r="C95" s="482" t="s">
        <v>1283</v>
      </c>
      <c r="D95" s="2575"/>
      <c r="E95" s="2317"/>
      <c r="F95" s="2496"/>
      <c r="G95" s="513"/>
      <c r="H95" s="1613"/>
      <c r="I95" s="764"/>
      <c r="J95" s="684"/>
      <c r="K95" s="1613"/>
      <c r="L95" s="327"/>
      <c r="M95" s="454"/>
      <c r="N95" s="447"/>
      <c r="O95" s="1737"/>
      <c r="P95" s="1737"/>
      <c r="AH95" s="1744">
        <v>0</v>
      </c>
    </row>
    <row s="8273" customFormat="1" customHeight="1" ht="45" hidden="1">
      <c r="A96" s="1893" t="s">
        <v>242</v>
      </c>
      <c r="B96" s="1893" t="s">
        <v>243</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434</v>
      </c>
      <c r="M96" s="454"/>
      <c r="N96" s="447"/>
      <c r="O96" s="1737"/>
      <c r="P96" s="1737"/>
      <c r="AH96" s="1744">
        <v>0</v>
      </c>
    </row>
    <row s="8273" customFormat="1" customHeight="1" ht="18.75" hidden="1">
      <c r="A97" s="1893"/>
      <c r="B97" s="1893"/>
      <c r="C97" s="482" t="s">
        <v>1274</v>
      </c>
      <c r="D97" s="2575"/>
      <c r="E97" s="2317"/>
      <c r="F97" s="2496"/>
      <c r="G97" s="2540"/>
      <c r="H97" s="1613"/>
      <c r="I97" s="764" t="s">
        <v>1273</v>
      </c>
      <c r="J97" s="684"/>
      <c r="K97" s="1613"/>
      <c r="L97" s="327"/>
      <c r="M97" s="454"/>
      <c r="N97" s="447"/>
      <c r="O97" s="1737"/>
      <c r="P97" s="1737"/>
      <c r="AH97" s="1744">
        <v>0</v>
      </c>
    </row>
    <row s="8273" customFormat="1" customHeight="1" ht="0.75" hidden="1">
      <c r="A98" s="1893"/>
      <c r="B98" s="1893"/>
      <c r="C98" s="482" t="s">
        <v>1283</v>
      </c>
      <c r="D98" s="2575"/>
      <c r="E98" s="2317"/>
      <c r="F98" s="2496"/>
      <c r="G98" s="513"/>
      <c r="H98" s="1613"/>
      <c r="I98" s="764"/>
      <c r="J98" s="684"/>
      <c r="K98" s="1613"/>
      <c r="L98" s="327"/>
      <c r="M98" s="454"/>
      <c r="N98" s="447"/>
      <c r="O98" s="1737"/>
      <c r="P98" s="1737"/>
      <c r="AH98" s="1744">
        <v>0</v>
      </c>
    </row>
    <row s="8273" customFormat="1" customHeight="1" ht="18.75" hidden="1">
      <c r="A99" s="1893" t="s">
        <v>248</v>
      </c>
      <c r="B99" s="1893" t="s">
        <v>249</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434</v>
      </c>
      <c r="M99" s="454"/>
      <c r="N99" s="447"/>
      <c r="O99" s="1737"/>
      <c r="P99" s="1737"/>
      <c r="AH99" s="1744">
        <v>0</v>
      </c>
    </row>
    <row s="8273" customFormat="1" customHeight="1" ht="18.75" hidden="1">
      <c r="A100" s="1893"/>
      <c r="B100" s="1893"/>
      <c r="C100" s="482" t="s">
        <v>1274</v>
      </c>
      <c r="D100" s="2575"/>
      <c r="E100" s="2317"/>
      <c r="F100" s="2496"/>
      <c r="G100" s="2540"/>
      <c r="H100" s="1613"/>
      <c r="I100" s="764" t="s">
        <v>1273</v>
      </c>
      <c r="J100" s="684"/>
      <c r="K100" s="1613"/>
      <c r="L100" s="327"/>
      <c r="M100" s="454"/>
      <c r="N100" s="447"/>
      <c r="O100" s="1737"/>
      <c r="P100" s="1737"/>
      <c r="AH100" s="1744">
        <v>0</v>
      </c>
    </row>
    <row s="8273" customFormat="1" customHeight="1" ht="0.75" hidden="1">
      <c r="A101" s="1893"/>
      <c r="B101" s="1893"/>
      <c r="C101" s="482" t="s">
        <v>1283</v>
      </c>
      <c r="D101" s="2575"/>
      <c r="E101" s="2317"/>
      <c r="F101" s="2496"/>
      <c r="G101" s="513"/>
      <c r="H101" s="1613"/>
      <c r="I101" s="764"/>
      <c r="J101" s="684"/>
      <c r="K101" s="1613"/>
      <c r="L101" s="327"/>
      <c r="M101" s="454"/>
      <c r="N101" s="447"/>
      <c r="O101" s="1737"/>
      <c r="P101" s="1737"/>
      <c r="AH101" s="1744">
        <v>0</v>
      </c>
    </row>
    <row s="8273" customFormat="1" customHeight="1" ht="18.75" hidden="1">
      <c r="A102" s="1893" t="s">
        <v>254</v>
      </c>
      <c r="B102" s="1893" t="s">
        <v>255</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434</v>
      </c>
      <c r="M102" s="454"/>
      <c r="N102" s="447"/>
      <c r="O102" s="1737"/>
      <c r="P102" s="1737"/>
      <c r="AH102" s="1744">
        <v>0</v>
      </c>
    </row>
    <row s="8273" customFormat="1" customHeight="1" ht="18.75" hidden="1">
      <c r="A103" s="1893"/>
      <c r="B103" s="1893"/>
      <c r="C103" s="482" t="s">
        <v>1274</v>
      </c>
      <c r="D103" s="2575"/>
      <c r="E103" s="2317"/>
      <c r="F103" s="2496"/>
      <c r="G103" s="2540"/>
      <c r="H103" s="1613"/>
      <c r="I103" s="764" t="s">
        <v>1273</v>
      </c>
      <c r="J103" s="684"/>
      <c r="K103" s="1613"/>
      <c r="L103" s="327"/>
      <c r="M103" s="454"/>
      <c r="N103" s="447"/>
      <c r="O103" s="1737"/>
      <c r="P103" s="1737"/>
      <c r="AH103" s="1744">
        <v>0</v>
      </c>
    </row>
    <row s="8273" customFormat="1" customHeight="1" ht="0.75" hidden="1">
      <c r="A104" s="1893"/>
      <c r="B104" s="1893"/>
      <c r="C104" s="482" t="s">
        <v>1283</v>
      </c>
      <c r="D104" s="2575"/>
      <c r="E104" s="2317"/>
      <c r="F104" s="2496"/>
      <c r="G104" s="513"/>
      <c r="H104" s="1613"/>
      <c r="I104" s="764"/>
      <c r="J104" s="684"/>
      <c r="K104" s="1613"/>
      <c r="L104" s="327"/>
      <c r="M104" s="454"/>
      <c r="N104" s="447"/>
      <c r="O104" s="1737"/>
      <c r="P104" s="1737"/>
      <c r="AH104" s="1744">
        <v>0</v>
      </c>
    </row>
    <row s="8273" customFormat="1" customHeight="1" ht="18.75" hidden="1">
      <c r="A105" s="1893" t="s">
        <v>260</v>
      </c>
      <c r="B105" s="1893" t="s">
        <v>261</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434</v>
      </c>
      <c r="M105" s="454"/>
      <c r="N105" s="447"/>
      <c r="O105" s="1737"/>
      <c r="P105" s="1737"/>
      <c r="AH105" s="1744">
        <v>0</v>
      </c>
    </row>
    <row s="8273" customFormat="1" customHeight="1" ht="18.75" hidden="1">
      <c r="A106" s="1893"/>
      <c r="B106" s="1893"/>
      <c r="C106" s="482" t="s">
        <v>1274</v>
      </c>
      <c r="D106" s="2575"/>
      <c r="E106" s="2317"/>
      <c r="F106" s="2496"/>
      <c r="G106" s="2540"/>
      <c r="H106" s="1613"/>
      <c r="I106" s="764" t="s">
        <v>1273</v>
      </c>
      <c r="J106" s="684"/>
      <c r="K106" s="1613"/>
      <c r="L106" s="327"/>
      <c r="M106" s="454"/>
      <c r="N106" s="447"/>
      <c r="O106" s="1737"/>
      <c r="P106" s="1737"/>
      <c r="AH106" s="1744">
        <v>0</v>
      </c>
    </row>
    <row s="8273" customFormat="1" customHeight="1" ht="0.75" hidden="1">
      <c r="A107" s="1893"/>
      <c r="B107" s="1893"/>
      <c r="C107" s="482" t="s">
        <v>1283</v>
      </c>
      <c r="D107" s="2575"/>
      <c r="E107" s="2317"/>
      <c r="F107" s="2496"/>
      <c r="G107" s="513"/>
      <c r="H107" s="1613"/>
      <c r="I107" s="764"/>
      <c r="J107" s="684"/>
      <c r="K107" s="1613"/>
      <c r="L107" s="327"/>
      <c r="M107" s="454"/>
      <c r="N107" s="447"/>
      <c r="O107" s="1737"/>
      <c r="P107" s="1737"/>
      <c r="AH107" s="1744">
        <v>0</v>
      </c>
    </row>
    <row s="8273" customFormat="1" customHeight="1" ht="18.75" hidden="1">
      <c r="A108" s="1893" t="s">
        <v>266</v>
      </c>
      <c r="B108" s="1893" t="s">
        <v>267</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434</v>
      </c>
      <c r="M108" s="454"/>
      <c r="N108" s="447"/>
      <c r="O108" s="1737"/>
      <c r="P108" s="1737"/>
      <c r="AH108" s="1744">
        <v>0</v>
      </c>
    </row>
    <row s="8273" customFormat="1" customHeight="1" ht="18.75" hidden="1">
      <c r="A109" s="1893"/>
      <c r="B109" s="1893"/>
      <c r="C109" s="482" t="s">
        <v>1274</v>
      </c>
      <c r="D109" s="2575"/>
      <c r="E109" s="2317"/>
      <c r="F109" s="2496"/>
      <c r="G109" s="2540"/>
      <c r="H109" s="1613"/>
      <c r="I109" s="764" t="s">
        <v>1273</v>
      </c>
      <c r="J109" s="684"/>
      <c r="K109" s="1613"/>
      <c r="L109" s="327"/>
      <c r="M109" s="454"/>
      <c r="N109" s="447"/>
      <c r="O109" s="1737"/>
      <c r="P109" s="1737"/>
      <c r="AH109" s="1744">
        <v>0</v>
      </c>
    </row>
    <row s="8273" customFormat="1" customHeight="1" ht="0.75" hidden="1">
      <c r="A110" s="1893"/>
      <c r="B110" s="1893"/>
      <c r="C110" s="482" t="s">
        <v>1283</v>
      </c>
      <c r="D110" s="2575"/>
      <c r="E110" s="2317"/>
      <c r="F110" s="2496"/>
      <c r="G110" s="513"/>
      <c r="H110" s="1613"/>
      <c r="I110" s="764"/>
      <c r="J110" s="684"/>
      <c r="K110" s="1613"/>
      <c r="L110" s="327"/>
      <c r="M110" s="454"/>
      <c r="N110" s="447"/>
      <c r="O110" s="1737"/>
      <c r="P110" s="1737"/>
      <c r="AH110" s="1744">
        <v>0</v>
      </c>
    </row>
    <row s="8273" customFormat="1" customHeight="1" ht="18.75" hidden="1">
      <c r="A111" s="1893" t="s">
        <v>272</v>
      </c>
      <c r="B111" s="1893" t="s">
        <v>273</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434</v>
      </c>
      <c r="M111" s="454"/>
      <c r="N111" s="447"/>
      <c r="O111" s="1737"/>
      <c r="P111" s="1737"/>
      <c r="AH111" s="1744">
        <v>0</v>
      </c>
    </row>
    <row s="8273" customFormat="1" customHeight="1" ht="18.75" hidden="1">
      <c r="A112" s="1893"/>
      <c r="B112" s="1893"/>
      <c r="C112" s="482" t="s">
        <v>1274</v>
      </c>
      <c r="D112" s="2575"/>
      <c r="E112" s="2317"/>
      <c r="F112" s="2496"/>
      <c r="G112" s="2540"/>
      <c r="H112" s="1613"/>
      <c r="I112" s="764" t="s">
        <v>1273</v>
      </c>
      <c r="J112" s="684"/>
      <c r="K112" s="1613"/>
      <c r="L112" s="327"/>
      <c r="M112" s="454"/>
      <c r="N112" s="447"/>
      <c r="O112" s="1737"/>
      <c r="P112" s="1737"/>
      <c r="AH112" s="1744">
        <v>0</v>
      </c>
    </row>
    <row s="8273" customFormat="1" customHeight="1" ht="0.75" hidden="1">
      <c r="A113" s="1893"/>
      <c r="B113" s="1893"/>
      <c r="C113" s="482" t="s">
        <v>1283</v>
      </c>
      <c r="D113" s="2575"/>
      <c r="E113" s="2317"/>
      <c r="F113" s="2496"/>
      <c r="G113" s="513"/>
      <c r="H113" s="1613"/>
      <c r="I113" s="764"/>
      <c r="J113" s="684"/>
      <c r="K113" s="1613"/>
      <c r="L113" s="327"/>
      <c r="M113" s="454"/>
      <c r="N113" s="447"/>
      <c r="O113" s="1737"/>
      <c r="P113" s="1737"/>
      <c r="AH113" s="1744">
        <v>0</v>
      </c>
    </row>
    <row s="8273" customFormat="1" customHeight="1" ht="18.75">
      <c r="A114" s="1893" t="s">
        <v>294</v>
      </c>
      <c r="B114" s="1893" t="s">
        <v>295</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Питьевая вода</v>
      </c>
      <c r="H114" s="1975"/>
      <c r="I114" s="7504">
        <v>45658</v>
      </c>
      <c r="J114" s="7505">
        <v>46022</v>
      </c>
      <c r="K114" s="1891">
        <v>117052.99</v>
      </c>
      <c r="L114" s="1975" t="s">
        <v>434</v>
      </c>
      <c r="M114" s="454"/>
      <c r="N114" s="447"/>
      <c r="O114" s="1737"/>
      <c r="P114" s="1737"/>
      <c r="AH114" s="1744">
        <v>0</v>
      </c>
    </row>
    <row s="8273" customFormat="1" customHeight="1" ht="18.75">
      <c r="A115" s="1893"/>
      <c r="B115" s="1893"/>
      <c r="C115" s="482" t="s">
        <v>1274</v>
      </c>
      <c r="D115" s="2575"/>
      <c r="E115" s="2317"/>
      <c r="F115" s="2496"/>
      <c r="G115" s="2540"/>
      <c r="H115" s="1613"/>
      <c r="I115" s="764" t="s">
        <v>1273</v>
      </c>
      <c r="J115" s="684"/>
      <c r="K115" s="1613"/>
      <c r="L115" s="327"/>
      <c r="M115" s="454"/>
      <c r="N115" s="447"/>
      <c r="O115" s="1737"/>
      <c r="P115" s="1737"/>
      <c r="AH115" s="1744">
        <v>0</v>
      </c>
    </row>
    <row s="8273" customFormat="1" customHeight="1" ht="0.75">
      <c r="A116" s="1893"/>
      <c r="B116" s="1893"/>
      <c r="C116" s="482" t="s">
        <v>1283</v>
      </c>
      <c r="D116" s="2575"/>
      <c r="E116" s="2317"/>
      <c r="F116" s="2496"/>
      <c r="G116" s="513"/>
      <c r="H116" s="1613"/>
      <c r="I116" s="764"/>
      <c r="J116" s="684"/>
      <c r="K116" s="1613"/>
      <c r="L116" s="327"/>
      <c r="M116" s="454"/>
      <c r="N116" s="447"/>
      <c r="O116" s="1737"/>
      <c r="P116" s="1737"/>
      <c r="AH116" s="1744">
        <v>0</v>
      </c>
    </row>
    <row s="8273" customFormat="1" customHeight="1" ht="18.75" hidden="1">
      <c r="A117" s="1893" t="s">
        <v>358</v>
      </c>
      <c r="B117" s="1893" t="s">
        <v>359</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434</v>
      </c>
      <c r="M117" s="454"/>
      <c r="N117" s="447"/>
      <c r="O117" s="1737"/>
      <c r="P117" s="1737"/>
      <c r="AH117" s="1744">
        <v>0</v>
      </c>
    </row>
    <row s="8273" customFormat="1" customHeight="1" ht="18.75" hidden="1">
      <c r="A118" s="1893"/>
      <c r="B118" s="1893"/>
      <c r="C118" s="482" t="s">
        <v>1274</v>
      </c>
      <c r="D118" s="2575"/>
      <c r="E118" s="2317"/>
      <c r="F118" s="2496"/>
      <c r="G118" s="2540"/>
      <c r="H118" s="1613"/>
      <c r="I118" s="764" t="s">
        <v>1273</v>
      </c>
      <c r="J118" s="684"/>
      <c r="K118" s="1613"/>
      <c r="L118" s="327"/>
      <c r="M118" s="454"/>
      <c r="N118" s="447"/>
      <c r="O118" s="1737"/>
      <c r="P118" s="1737"/>
      <c r="AH118" s="1744">
        <v>0</v>
      </c>
    </row>
    <row s="8273" customFormat="1" customHeight="1" ht="0.75" hidden="1">
      <c r="A119" s="1893"/>
      <c r="B119" s="1893"/>
      <c r="C119" s="482" t="s">
        <v>1283</v>
      </c>
      <c r="D119" s="2575"/>
      <c r="E119" s="2317"/>
      <c r="F119" s="2496"/>
      <c r="G119" s="513"/>
      <c r="H119" s="1613"/>
      <c r="I119" s="764"/>
      <c r="J119" s="684"/>
      <c r="K119" s="1613"/>
      <c r="L119" s="327"/>
      <c r="M119" s="454"/>
      <c r="N119" s="447"/>
      <c r="O119" s="1737"/>
      <c r="P119" s="1737"/>
      <c r="AH119" s="1744">
        <v>0</v>
      </c>
    </row>
    <row s="8273" customFormat="1" customHeight="1" ht="18.75" hidden="1">
      <c r="A120" s="1893" t="s">
        <v>363</v>
      </c>
      <c r="B120" s="1893" t="s">
        <v>364</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434</v>
      </c>
      <c r="M120" s="454"/>
      <c r="N120" s="447"/>
      <c r="O120" s="1737"/>
      <c r="P120" s="1737"/>
      <c r="AH120" s="1744">
        <v>0</v>
      </c>
    </row>
    <row s="8273" customFormat="1" customHeight="1" ht="18.75" hidden="1">
      <c r="A121" s="1893"/>
      <c r="B121" s="1893"/>
      <c r="C121" s="482" t="s">
        <v>1274</v>
      </c>
      <c r="D121" s="2575"/>
      <c r="E121" s="2317"/>
      <c r="F121" s="2496"/>
      <c r="G121" s="2540"/>
      <c r="H121" s="1613"/>
      <c r="I121" s="764" t="s">
        <v>1273</v>
      </c>
      <c r="J121" s="684"/>
      <c r="K121" s="1613"/>
      <c r="L121" s="327"/>
      <c r="M121" s="454"/>
      <c r="N121" s="447"/>
      <c r="O121" s="1737"/>
      <c r="P121" s="1737"/>
      <c r="AH121" s="1744">
        <v>0</v>
      </c>
    </row>
    <row s="8273" customFormat="1" customHeight="1" ht="0.75" hidden="1">
      <c r="A122" s="1893"/>
      <c r="B122" s="1893"/>
      <c r="C122" s="482" t="s">
        <v>1283</v>
      </c>
      <c r="D122" s="2575"/>
      <c r="E122" s="2317"/>
      <c r="F122" s="2496"/>
      <c r="G122" s="513"/>
      <c r="H122" s="1613"/>
      <c r="I122" s="764"/>
      <c r="J122" s="684"/>
      <c r="K122" s="1613"/>
      <c r="L122" s="327"/>
      <c r="M122" s="454"/>
      <c r="N122" s="447"/>
      <c r="O122" s="1737"/>
      <c r="P122" s="1737"/>
      <c r="AH122" s="1744">
        <v>0</v>
      </c>
    </row>
    <row s="8273" customFormat="1" customHeight="1" ht="18.75" hidden="1">
      <c r="A123" s="1893" t="s">
        <v>368</v>
      </c>
      <c r="B123" s="1893" t="s">
        <v>369</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434</v>
      </c>
      <c r="M123" s="454"/>
      <c r="N123" s="447"/>
      <c r="O123" s="1737"/>
      <c r="P123" s="1737"/>
      <c r="AH123" s="1744">
        <v>0</v>
      </c>
    </row>
    <row s="8273" customFormat="1" customHeight="1" ht="18.75" hidden="1">
      <c r="A124" s="1893"/>
      <c r="B124" s="1893"/>
      <c r="C124" s="482" t="s">
        <v>1274</v>
      </c>
      <c r="D124" s="2575"/>
      <c r="E124" s="2317"/>
      <c r="F124" s="2496"/>
      <c r="G124" s="2540"/>
      <c r="H124" s="1613"/>
      <c r="I124" s="764" t="s">
        <v>1273</v>
      </c>
      <c r="J124" s="684"/>
      <c r="K124" s="1613"/>
      <c r="L124" s="327"/>
      <c r="M124" s="454"/>
      <c r="N124" s="447"/>
      <c r="O124" s="1737"/>
      <c r="P124" s="1737"/>
      <c r="AH124" s="1744">
        <v>0</v>
      </c>
    </row>
    <row s="8273" customFormat="1" customHeight="1" ht="0.75" hidden="1">
      <c r="A125" s="1893"/>
      <c r="B125" s="1893"/>
      <c r="C125" s="482" t="s">
        <v>1283</v>
      </c>
      <c r="D125" s="2575"/>
      <c r="E125" s="2317"/>
      <c r="F125" s="2496"/>
      <c r="G125" s="513"/>
      <c r="H125" s="1613"/>
      <c r="I125" s="764"/>
      <c r="J125" s="684"/>
      <c r="K125" s="1613"/>
      <c r="L125" s="327"/>
      <c r="M125" s="454"/>
      <c r="N125" s="447"/>
      <c r="O125" s="1737"/>
      <c r="P125" s="1737"/>
      <c r="AH125" s="1744">
        <v>0</v>
      </c>
    </row>
    <row s="8273" customFormat="1" customHeight="1" ht="18.75" hidden="1">
      <c r="A126" s="1893" t="s">
        <v>373</v>
      </c>
      <c r="B126" s="1893" t="s">
        <v>374</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434</v>
      </c>
      <c r="M126" s="454"/>
      <c r="N126" s="447"/>
      <c r="O126" s="1737"/>
      <c r="P126" s="1737"/>
      <c r="AH126" s="1744">
        <v>0</v>
      </c>
    </row>
    <row s="8273" customFormat="1" customHeight="1" ht="18.75" hidden="1">
      <c r="A127" s="1893"/>
      <c r="B127" s="1893"/>
      <c r="C127" s="482" t="s">
        <v>1274</v>
      </c>
      <c r="D127" s="2575"/>
      <c r="E127" s="2317"/>
      <c r="F127" s="2496"/>
      <c r="G127" s="2540"/>
      <c r="H127" s="1613"/>
      <c r="I127" s="764" t="s">
        <v>1273</v>
      </c>
      <c r="J127" s="684"/>
      <c r="K127" s="1613"/>
      <c r="L127" s="327"/>
      <c r="M127" s="454"/>
      <c r="N127" s="447"/>
      <c r="O127" s="1737"/>
      <c r="P127" s="1737"/>
      <c r="AH127" s="1744">
        <v>0</v>
      </c>
    </row>
    <row s="8273" customFormat="1" customHeight="1" ht="0.75" hidden="1">
      <c r="A128" s="1893"/>
      <c r="B128" s="1893"/>
      <c r="C128" s="482" t="s">
        <v>1283</v>
      </c>
      <c r="D128" s="2575"/>
      <c r="E128" s="2317"/>
      <c r="F128" s="2496"/>
      <c r="G128" s="513"/>
      <c r="H128" s="1613"/>
      <c r="I128" s="764"/>
      <c r="J128" s="684"/>
      <c r="K128" s="1613"/>
      <c r="L128" s="327"/>
      <c r="M128" s="454"/>
      <c r="N128" s="447"/>
      <c r="O128" s="1737"/>
      <c r="P128" s="1737"/>
      <c r="AH128" s="1744">
        <v>0</v>
      </c>
    </row>
    <row s="8273" customFormat="1" customHeight="1" ht="18.75" hidden="1">
      <c r="A129" s="1893" t="s">
        <v>378</v>
      </c>
      <c r="B129" s="1893" t="s">
        <v>379</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434</v>
      </c>
      <c r="M129" s="454"/>
      <c r="N129" s="447"/>
      <c r="O129" s="1737"/>
      <c r="P129" s="1737"/>
      <c r="AH129" s="1744">
        <v>0</v>
      </c>
    </row>
    <row s="8273" customFormat="1" customHeight="1" ht="18.75" hidden="1">
      <c r="A130" s="1893"/>
      <c r="B130" s="1893"/>
      <c r="C130" s="482" t="s">
        <v>1274</v>
      </c>
      <c r="D130" s="2575"/>
      <c r="E130" s="2317"/>
      <c r="F130" s="2496"/>
      <c r="G130" s="2540"/>
      <c r="H130" s="1613"/>
      <c r="I130" s="764" t="s">
        <v>1273</v>
      </c>
      <c r="J130" s="684"/>
      <c r="K130" s="1613"/>
      <c r="L130" s="327"/>
      <c r="M130" s="454"/>
      <c r="N130" s="447"/>
      <c r="O130" s="1737"/>
      <c r="P130" s="1737"/>
      <c r="AH130" s="1744">
        <v>0</v>
      </c>
    </row>
    <row s="8273" customFormat="1" customHeight="1" ht="0.75" hidden="1">
      <c r="A131" s="1893"/>
      <c r="B131" s="1893"/>
      <c r="C131" s="482" t="s">
        <v>1283</v>
      </c>
      <c r="D131" s="2575"/>
      <c r="E131" s="2317"/>
      <c r="F131" s="2496"/>
      <c r="G131" s="513"/>
      <c r="H131" s="1613"/>
      <c r="I131" s="764"/>
      <c r="J131" s="684"/>
      <c r="K131" s="1613"/>
      <c r="L131" s="327"/>
      <c r="M131" s="454"/>
      <c r="N131" s="447"/>
      <c r="O131" s="1737"/>
      <c r="P131" s="1737"/>
      <c r="AH131" s="1744">
        <v>0</v>
      </c>
    </row>
    <row s="8273" customFormat="1" customHeight="1" ht="18.75" hidden="1">
      <c r="A132" s="1893" t="s">
        <v>383</v>
      </c>
      <c r="B132" s="1893" t="s">
        <v>384</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434</v>
      </c>
      <c r="M132" s="454"/>
      <c r="N132" s="447"/>
      <c r="O132" s="1737"/>
      <c r="P132" s="1737"/>
      <c r="AH132" s="1744">
        <v>0</v>
      </c>
    </row>
    <row s="8273" customFormat="1" customHeight="1" ht="18.75" hidden="1">
      <c r="A133" s="1893"/>
      <c r="B133" s="1893"/>
      <c r="C133" s="482" t="s">
        <v>1274</v>
      </c>
      <c r="D133" s="2575"/>
      <c r="E133" s="2317"/>
      <c r="F133" s="2496"/>
      <c r="G133" s="2540"/>
      <c r="H133" s="1613"/>
      <c r="I133" s="764" t="s">
        <v>1273</v>
      </c>
      <c r="J133" s="684"/>
      <c r="K133" s="1613"/>
      <c r="L133" s="327"/>
      <c r="M133" s="454"/>
      <c r="N133" s="447"/>
      <c r="O133" s="1737"/>
      <c r="P133" s="1737"/>
      <c r="AH133" s="1744">
        <v>0</v>
      </c>
    </row>
    <row s="8273" customFormat="1" customHeight="1" ht="0.75" hidden="1">
      <c r="A134" s="1893"/>
      <c r="B134" s="1893"/>
      <c r="C134" s="482" t="s">
        <v>1283</v>
      </c>
      <c r="D134" s="2575"/>
      <c r="E134" s="2317"/>
      <c r="F134" s="2496"/>
      <c r="G134" s="513"/>
      <c r="H134" s="1613"/>
      <c r="I134" s="764"/>
      <c r="J134" s="684"/>
      <c r="K134" s="1613"/>
      <c r="L134" s="327"/>
      <c r="M134" s="454"/>
      <c r="N134" s="447"/>
      <c r="O134" s="1737"/>
      <c r="P134" s="1737"/>
      <c r="AH134" s="1744">
        <v>0</v>
      </c>
    </row>
    <row s="8273" customFormat="1" customHeight="1" ht="18.75" hidden="1">
      <c r="A135" s="1893" t="s">
        <v>388</v>
      </c>
      <c r="B135" s="1893" t="s">
        <v>389</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434</v>
      </c>
      <c r="M135" s="454"/>
      <c r="N135" s="447"/>
      <c r="O135" s="1737"/>
      <c r="P135" s="1737"/>
      <c r="AH135" s="1744">
        <v>0</v>
      </c>
    </row>
    <row s="8273" customFormat="1" customHeight="1" ht="18.75" hidden="1">
      <c r="A136" s="1893"/>
      <c r="B136" s="1893"/>
      <c r="C136" s="482" t="s">
        <v>1274</v>
      </c>
      <c r="D136" s="2575"/>
      <c r="E136" s="2317"/>
      <c r="F136" s="2496"/>
      <c r="G136" s="2540"/>
      <c r="H136" s="1613"/>
      <c r="I136" s="764" t="s">
        <v>1273</v>
      </c>
      <c r="J136" s="684"/>
      <c r="K136" s="1613"/>
      <c r="L136" s="327"/>
      <c r="M136" s="454"/>
      <c r="N136" s="447"/>
      <c r="O136" s="1737"/>
      <c r="P136" s="1737"/>
      <c r="AH136" s="1744">
        <v>0</v>
      </c>
    </row>
    <row s="8273" customFormat="1" customHeight="1" ht="0.75" hidden="1">
      <c r="A137" s="1893"/>
      <c r="B137" s="1893"/>
      <c r="C137" s="482" t="s">
        <v>1283</v>
      </c>
      <c r="D137" s="2575"/>
      <c r="E137" s="2317"/>
      <c r="F137" s="2496"/>
      <c r="G137" s="513"/>
      <c r="H137" s="1613"/>
      <c r="I137" s="764"/>
      <c r="J137" s="684"/>
      <c r="K137" s="1613"/>
      <c r="L137" s="327"/>
      <c r="M137" s="454"/>
      <c r="N137" s="447"/>
      <c r="O137" s="1737"/>
      <c r="P137" s="1737"/>
      <c r="AH137" s="1744">
        <v>0</v>
      </c>
    </row>
    <row s="8273" customFormat="1" customHeight="1" ht="18.75" hidden="1">
      <c r="A138" s="1893" t="s">
        <v>393</v>
      </c>
      <c r="B138" s="1893" t="s">
        <v>394</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434</v>
      </c>
      <c r="M138" s="454"/>
      <c r="N138" s="447"/>
      <c r="O138" s="1737"/>
      <c r="P138" s="1737"/>
      <c r="AH138" s="1744">
        <v>0</v>
      </c>
    </row>
    <row s="8273" customFormat="1" customHeight="1" ht="18.75" hidden="1">
      <c r="A139" s="1893"/>
      <c r="B139" s="1893"/>
      <c r="C139" s="482" t="s">
        <v>1274</v>
      </c>
      <c r="D139" s="2575"/>
      <c r="E139" s="2317"/>
      <c r="F139" s="2496"/>
      <c r="G139" s="2540"/>
      <c r="H139" s="1613"/>
      <c r="I139" s="764" t="s">
        <v>1273</v>
      </c>
      <c r="J139" s="684"/>
      <c r="K139" s="1613"/>
      <c r="L139" s="327"/>
      <c r="M139" s="454"/>
      <c r="N139" s="447"/>
      <c r="O139" s="1737"/>
      <c r="P139" s="1737"/>
      <c r="AH139" s="1744">
        <v>0</v>
      </c>
    </row>
    <row s="8273" customFormat="1" customHeight="1" ht="0.75" hidden="1">
      <c r="A140" s="1893"/>
      <c r="B140" s="1893"/>
      <c r="C140" s="482" t="s">
        <v>1283</v>
      </c>
      <c r="D140" s="2575"/>
      <c r="E140" s="2317"/>
      <c r="F140" s="2496"/>
      <c r="G140" s="513"/>
      <c r="H140" s="1613"/>
      <c r="I140" s="764"/>
      <c r="J140" s="684"/>
      <c r="K140" s="1613"/>
      <c r="L140" s="327"/>
      <c r="M140" s="454"/>
      <c r="N140" s="447"/>
      <c r="O140" s="1737"/>
      <c r="P140" s="1737"/>
      <c r="AH140" s="1744">
        <v>0</v>
      </c>
    </row>
    <row s="8273" customFormat="1" customHeight="1" ht="18.75" hidden="1">
      <c r="A141" s="1893" t="s">
        <v>398</v>
      </c>
      <c r="B141" s="1893" t="s">
        <v>399</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434</v>
      </c>
      <c r="M141" s="454"/>
      <c r="N141" s="447"/>
      <c r="O141" s="1737"/>
      <c r="P141" s="1737"/>
      <c r="AH141" s="1744">
        <v>0</v>
      </c>
    </row>
    <row s="8273" customFormat="1" customHeight="1" ht="18.75" hidden="1">
      <c r="A142" s="1893"/>
      <c r="B142" s="1893"/>
      <c r="C142" s="482" t="s">
        <v>1274</v>
      </c>
      <c r="D142" s="2575"/>
      <c r="E142" s="2317"/>
      <c r="F142" s="2496"/>
      <c r="G142" s="2540"/>
      <c r="H142" s="1613"/>
      <c r="I142" s="764" t="s">
        <v>1273</v>
      </c>
      <c r="J142" s="684"/>
      <c r="K142" s="1613"/>
      <c r="L142" s="327"/>
      <c r="M142" s="454"/>
      <c r="N142" s="447"/>
      <c r="O142" s="1737"/>
      <c r="P142" s="1737"/>
      <c r="AH142" s="1744">
        <v>0</v>
      </c>
    </row>
    <row s="8273" customFormat="1" customHeight="1" ht="0.75" hidden="1">
      <c r="A143" s="1893"/>
      <c r="B143" s="1893"/>
      <c r="C143" s="482" t="s">
        <v>1283</v>
      </c>
      <c r="D143" s="2575"/>
      <c r="E143" s="2317"/>
      <c r="F143" s="2496"/>
      <c r="G143" s="513"/>
      <c r="H143" s="1613"/>
      <c r="I143" s="764"/>
      <c r="J143" s="684"/>
      <c r="K143" s="1613"/>
      <c r="L143" s="327"/>
      <c r="M143" s="454"/>
      <c r="N143" s="447"/>
      <c r="O143" s="1737"/>
      <c r="P143" s="1737"/>
      <c r="AH143" s="1744">
        <v>0</v>
      </c>
    </row>
    <row s="8273" customFormat="1" customHeight="1" ht="18.75" hidden="1">
      <c r="A144" s="1893" t="s">
        <v>403</v>
      </c>
      <c r="B144" s="1893" t="s">
        <v>404</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434</v>
      </c>
      <c r="M144" s="454"/>
      <c r="N144" s="447"/>
      <c r="O144" s="1737"/>
      <c r="P144" s="1737"/>
      <c r="AH144" s="1744">
        <v>0</v>
      </c>
    </row>
    <row s="8273" customFormat="1" customHeight="1" ht="18.75" hidden="1">
      <c r="A145" s="1893"/>
      <c r="B145" s="1893"/>
      <c r="C145" s="482" t="s">
        <v>1274</v>
      </c>
      <c r="D145" s="2575"/>
      <c r="E145" s="2317"/>
      <c r="F145" s="2496"/>
      <c r="G145" s="2540"/>
      <c r="H145" s="1613"/>
      <c r="I145" s="764" t="s">
        <v>1273</v>
      </c>
      <c r="J145" s="684"/>
      <c r="K145" s="1613"/>
      <c r="L145" s="327"/>
      <c r="M145" s="454"/>
      <c r="N145" s="447"/>
      <c r="O145" s="1737"/>
      <c r="P145" s="1737"/>
      <c r="AH145" s="1744">
        <v>0</v>
      </c>
    </row>
    <row s="8273" customFormat="1" customHeight="1" ht="1.05">
      <c r="A146" s="1893"/>
      <c r="B146" s="1893"/>
      <c r="C146" s="482" t="s">
        <v>1283</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91</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73"/>
      <c r="H147" s="2573"/>
      <c r="I147" s="2573"/>
      <c r="J147" s="2573"/>
      <c r="K147" s="2573"/>
      <c r="L147" s="2573"/>
      <c r="M147" s="410"/>
      <c r="N147" s="447"/>
      <c r="AH147" s="487">
        <v>19</v>
      </c>
    </row>
    <row s="8273" customFormat="1" customHeight="1" ht="60.75" hidden="1">
      <c r="A148" s="1893" t="s">
        <v>224</v>
      </c>
      <c r="B148" s="1893" t="s">
        <v>225</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434</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47"/>
      <c r="O148" s="1737"/>
      <c r="P148" s="1737"/>
      <c r="AH148" s="1744">
        <v>0</v>
      </c>
    </row>
    <row s="8273" customFormat="1" customHeight="1" ht="18.75" hidden="1">
      <c r="A149" s="1893"/>
      <c r="B149" s="1893"/>
      <c r="C149" s="482" t="s">
        <v>1274</v>
      </c>
      <c r="D149" s="2575"/>
      <c r="E149" s="2317"/>
      <c r="F149" s="2496"/>
      <c r="G149" s="2540"/>
      <c r="H149" s="1613"/>
      <c r="I149" s="764" t="s">
        <v>1273</v>
      </c>
      <c r="J149" s="684"/>
      <c r="K149" s="1613"/>
      <c r="L149" s="327"/>
      <c r="M149" s="2283"/>
      <c r="N149" s="447"/>
      <c r="O149" s="1737"/>
      <c r="P149" s="1737"/>
      <c r="AH149" s="1744">
        <v>0</v>
      </c>
    </row>
    <row s="8273" customFormat="1" customHeight="1" ht="0.75" hidden="1">
      <c r="A150" s="1893"/>
      <c r="B150" s="1893"/>
      <c r="C150" s="482" t="s">
        <v>1283</v>
      </c>
      <c r="D150" s="2575"/>
      <c r="E150" s="2317"/>
      <c r="F150" s="2496"/>
      <c r="G150" s="513"/>
      <c r="H150" s="1613"/>
      <c r="I150" s="764"/>
      <c r="J150" s="684"/>
      <c r="K150" s="1613"/>
      <c r="L150" s="327"/>
      <c r="M150" s="2283"/>
      <c r="N150" s="447"/>
      <c r="O150" s="1737"/>
      <c r="P150" s="1737"/>
      <c r="AH150" s="1744">
        <v>0</v>
      </c>
    </row>
    <row s="8273" customFormat="1" customHeight="1" ht="45" hidden="1">
      <c r="A151" s="1893" t="s">
        <v>229</v>
      </c>
      <c r="B151" s="1893" t="s">
        <v>230</v>
      </c>
      <c r="C151" s="482"/>
      <c r="D151" s="2575"/>
      <c r="E151" s="2317"/>
      <c r="F151" s="2496" t="str">
        <f>INDEX(PT_DIFFERENTIATION_VTAR,MATCH(A151,PT_DIFFERENTIATION_VTAR_ID,0))</f>
        <v/>
      </c>
      <c r="G151" s="2540" t="str">
        <f>INDEX(PT_DIFFERENTIATION_NTAR,MATCH(B151,PT_DIFFERENTIATION_NTAR_ID,0))</f>
        <v/>
      </c>
      <c r="H151" s="1975"/>
      <c r="I151" s="1852"/>
      <c r="J151" s="1886"/>
      <c r="K151" s="1891"/>
      <c r="L151" s="1975" t="s">
        <v>434</v>
      </c>
      <c r="M151" s="2284"/>
      <c r="N151" s="447"/>
      <c r="O151" s="1737"/>
      <c r="P151" s="1737"/>
      <c r="AH151" s="1744">
        <v>0</v>
      </c>
    </row>
    <row s="8273" customFormat="1" customHeight="1" ht="18.75" hidden="1">
      <c r="A152" s="1893"/>
      <c r="B152" s="1893"/>
      <c r="C152" s="482" t="s">
        <v>1274</v>
      </c>
      <c r="D152" s="2575"/>
      <c r="E152" s="2317"/>
      <c r="F152" s="2496"/>
      <c r="G152" s="2540"/>
      <c r="H152" s="1613"/>
      <c r="I152" s="764" t="s">
        <v>1273</v>
      </c>
      <c r="J152" s="684"/>
      <c r="K152" s="1613"/>
      <c r="L152" s="327"/>
      <c r="M152" s="1974"/>
      <c r="N152" s="447"/>
      <c r="O152" s="1737"/>
      <c r="P152" s="1737"/>
      <c r="AH152" s="1744">
        <v>0</v>
      </c>
    </row>
    <row s="8273" customFormat="1" customHeight="1" ht="0.75" hidden="1">
      <c r="A153" s="1893"/>
      <c r="B153" s="1893"/>
      <c r="C153" s="482" t="s">
        <v>1283</v>
      </c>
      <c r="D153" s="2575"/>
      <c r="E153" s="2317"/>
      <c r="F153" s="2496"/>
      <c r="G153" s="513"/>
      <c r="H153" s="1613"/>
      <c r="I153" s="764"/>
      <c r="J153" s="684"/>
      <c r="K153" s="1613"/>
      <c r="L153" s="327"/>
      <c r="M153" s="454"/>
      <c r="N153" s="447"/>
      <c r="O153" s="1737"/>
      <c r="P153" s="1737"/>
      <c r="AH153" s="1744">
        <v>0</v>
      </c>
    </row>
    <row s="8273" customFormat="1" customHeight="1" ht="45" hidden="1">
      <c r="A154" s="1893" t="s">
        <v>236</v>
      </c>
      <c r="B154" s="1893" t="s">
        <v>237</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434</v>
      </c>
      <c r="M154" s="454"/>
      <c r="N154" s="447"/>
      <c r="O154" s="1737"/>
      <c r="P154" s="1737"/>
      <c r="AH154" s="1744">
        <v>0</v>
      </c>
    </row>
    <row s="8273" customFormat="1" customHeight="1" ht="18.75" hidden="1">
      <c r="A155" s="1893"/>
      <c r="B155" s="1893"/>
      <c r="C155" s="482" t="s">
        <v>1274</v>
      </c>
      <c r="D155" s="2575"/>
      <c r="E155" s="2317"/>
      <c r="F155" s="2496"/>
      <c r="G155" s="2540"/>
      <c r="H155" s="1613"/>
      <c r="I155" s="764" t="s">
        <v>1273</v>
      </c>
      <c r="J155" s="684"/>
      <c r="K155" s="1613"/>
      <c r="L155" s="327"/>
      <c r="M155" s="454"/>
      <c r="N155" s="447"/>
      <c r="O155" s="1737"/>
      <c r="P155" s="1737"/>
      <c r="AH155" s="1744">
        <v>0</v>
      </c>
    </row>
    <row s="8273" customFormat="1" customHeight="1" ht="0.75" hidden="1">
      <c r="A156" s="1893"/>
      <c r="B156" s="1893"/>
      <c r="C156" s="482" t="s">
        <v>1283</v>
      </c>
      <c r="D156" s="2575"/>
      <c r="E156" s="2317"/>
      <c r="F156" s="2496"/>
      <c r="G156" s="513"/>
      <c r="H156" s="1613"/>
      <c r="I156" s="764"/>
      <c r="J156" s="684"/>
      <c r="K156" s="1613"/>
      <c r="L156" s="327"/>
      <c r="M156" s="454"/>
      <c r="N156" s="447"/>
      <c r="O156" s="1737"/>
      <c r="P156" s="1737"/>
      <c r="AH156" s="1744">
        <v>0</v>
      </c>
    </row>
    <row s="8273" customFormat="1" customHeight="1" ht="45" hidden="1">
      <c r="A157" s="1893" t="s">
        <v>242</v>
      </c>
      <c r="B157" s="1893" t="s">
        <v>243</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434</v>
      </c>
      <c r="M157" s="454"/>
      <c r="N157" s="447"/>
      <c r="O157" s="1737"/>
      <c r="P157" s="1737"/>
      <c r="AH157" s="1744">
        <v>0</v>
      </c>
    </row>
    <row s="8273" customFormat="1" customHeight="1" ht="18.75" hidden="1">
      <c r="A158" s="1893"/>
      <c r="B158" s="1893"/>
      <c r="C158" s="482" t="s">
        <v>1274</v>
      </c>
      <c r="D158" s="2575"/>
      <c r="E158" s="2317"/>
      <c r="F158" s="2496"/>
      <c r="G158" s="2540"/>
      <c r="H158" s="1613"/>
      <c r="I158" s="764" t="s">
        <v>1273</v>
      </c>
      <c r="J158" s="684"/>
      <c r="K158" s="1613"/>
      <c r="L158" s="327"/>
      <c r="M158" s="454"/>
      <c r="N158" s="447"/>
      <c r="O158" s="1737"/>
      <c r="P158" s="1737"/>
      <c r="AH158" s="1744">
        <v>0</v>
      </c>
    </row>
    <row s="8273" customFormat="1" customHeight="1" ht="0.75" hidden="1">
      <c r="A159" s="1893"/>
      <c r="B159" s="1893"/>
      <c r="C159" s="482" t="s">
        <v>1283</v>
      </c>
      <c r="D159" s="2575"/>
      <c r="E159" s="2317"/>
      <c r="F159" s="2496"/>
      <c r="G159" s="513"/>
      <c r="H159" s="1613"/>
      <c r="I159" s="764"/>
      <c r="J159" s="684"/>
      <c r="K159" s="1613"/>
      <c r="L159" s="327"/>
      <c r="M159" s="454"/>
      <c r="N159" s="447"/>
      <c r="O159" s="1737"/>
      <c r="P159" s="1737"/>
      <c r="AH159" s="1744">
        <v>0</v>
      </c>
    </row>
    <row s="8273" customFormat="1" customHeight="1" ht="18.75" hidden="1">
      <c r="A160" s="1893" t="s">
        <v>248</v>
      </c>
      <c r="B160" s="1893" t="s">
        <v>249</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434</v>
      </c>
      <c r="M160" s="454"/>
      <c r="N160" s="447"/>
      <c r="O160" s="1737"/>
      <c r="P160" s="1737"/>
      <c r="AH160" s="1744">
        <v>0</v>
      </c>
    </row>
    <row s="8273" customFormat="1" customHeight="1" ht="18.75" hidden="1">
      <c r="A161" s="1893"/>
      <c r="B161" s="1893"/>
      <c r="C161" s="482" t="s">
        <v>1274</v>
      </c>
      <c r="D161" s="2575"/>
      <c r="E161" s="2317"/>
      <c r="F161" s="2496"/>
      <c r="G161" s="2540"/>
      <c r="H161" s="1613"/>
      <c r="I161" s="764" t="s">
        <v>1273</v>
      </c>
      <c r="J161" s="684"/>
      <c r="K161" s="1613"/>
      <c r="L161" s="327"/>
      <c r="M161" s="454"/>
      <c r="N161" s="447"/>
      <c r="O161" s="1737"/>
      <c r="P161" s="1737"/>
      <c r="AH161" s="1744">
        <v>0</v>
      </c>
    </row>
    <row s="8273" customFormat="1" customHeight="1" ht="0.75" hidden="1">
      <c r="A162" s="1893"/>
      <c r="B162" s="1893"/>
      <c r="C162" s="482" t="s">
        <v>1283</v>
      </c>
      <c r="D162" s="2575"/>
      <c r="E162" s="2317"/>
      <c r="F162" s="2496"/>
      <c r="G162" s="513"/>
      <c r="H162" s="1613"/>
      <c r="I162" s="764"/>
      <c r="J162" s="684"/>
      <c r="K162" s="1613"/>
      <c r="L162" s="327"/>
      <c r="M162" s="454"/>
      <c r="N162" s="447"/>
      <c r="O162" s="1737"/>
      <c r="P162" s="1737"/>
      <c r="AH162" s="1744">
        <v>0</v>
      </c>
    </row>
    <row s="8273" customFormat="1" customHeight="1" ht="18.75" hidden="1">
      <c r="A163" s="1893" t="s">
        <v>254</v>
      </c>
      <c r="B163" s="1893" t="s">
        <v>255</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434</v>
      </c>
      <c r="M163" s="454"/>
      <c r="N163" s="447"/>
      <c r="O163" s="1737"/>
      <c r="P163" s="1737"/>
      <c r="AH163" s="1744">
        <v>0</v>
      </c>
    </row>
    <row s="8273" customFormat="1" customHeight="1" ht="18.75" hidden="1">
      <c r="A164" s="1893"/>
      <c r="B164" s="1893"/>
      <c r="C164" s="482" t="s">
        <v>1274</v>
      </c>
      <c r="D164" s="2575"/>
      <c r="E164" s="2317"/>
      <c r="F164" s="2496"/>
      <c r="G164" s="2540"/>
      <c r="H164" s="1613"/>
      <c r="I164" s="764" t="s">
        <v>1273</v>
      </c>
      <c r="J164" s="684"/>
      <c r="K164" s="1613"/>
      <c r="L164" s="327"/>
      <c r="M164" s="454"/>
      <c r="N164" s="447"/>
      <c r="O164" s="1737"/>
      <c r="P164" s="1737"/>
      <c r="AH164" s="1744">
        <v>0</v>
      </c>
    </row>
    <row s="8273" customFormat="1" customHeight="1" ht="0.75" hidden="1">
      <c r="A165" s="1893"/>
      <c r="B165" s="1893"/>
      <c r="C165" s="482" t="s">
        <v>1283</v>
      </c>
      <c r="D165" s="2575"/>
      <c r="E165" s="2317"/>
      <c r="F165" s="2496"/>
      <c r="G165" s="513"/>
      <c r="H165" s="1613"/>
      <c r="I165" s="764"/>
      <c r="J165" s="684"/>
      <c r="K165" s="1613"/>
      <c r="L165" s="327"/>
      <c r="M165" s="454"/>
      <c r="N165" s="447"/>
      <c r="O165" s="1737"/>
      <c r="P165" s="1737"/>
      <c r="AH165" s="1744">
        <v>0</v>
      </c>
    </row>
    <row s="8273" customFormat="1" customHeight="1" ht="18.75" hidden="1">
      <c r="A166" s="1893" t="s">
        <v>260</v>
      </c>
      <c r="B166" s="1893" t="s">
        <v>261</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434</v>
      </c>
      <c r="M166" s="454"/>
      <c r="N166" s="447"/>
      <c r="O166" s="1737"/>
      <c r="P166" s="1737"/>
      <c r="AH166" s="1744">
        <v>0</v>
      </c>
    </row>
    <row s="8273" customFormat="1" customHeight="1" ht="18.75" hidden="1">
      <c r="A167" s="1893"/>
      <c r="B167" s="1893"/>
      <c r="C167" s="482" t="s">
        <v>1274</v>
      </c>
      <c r="D167" s="2575"/>
      <c r="E167" s="2317"/>
      <c r="F167" s="2496"/>
      <c r="G167" s="2540"/>
      <c r="H167" s="1613"/>
      <c r="I167" s="764" t="s">
        <v>1273</v>
      </c>
      <c r="J167" s="684"/>
      <c r="K167" s="1613"/>
      <c r="L167" s="327"/>
      <c r="M167" s="454"/>
      <c r="N167" s="447"/>
      <c r="O167" s="1737"/>
      <c r="P167" s="1737"/>
      <c r="AH167" s="1744">
        <v>0</v>
      </c>
    </row>
    <row s="8273" customFormat="1" customHeight="1" ht="0.75" hidden="1">
      <c r="A168" s="1893"/>
      <c r="B168" s="1893"/>
      <c r="C168" s="482" t="s">
        <v>1283</v>
      </c>
      <c r="D168" s="2575"/>
      <c r="E168" s="2317"/>
      <c r="F168" s="2496"/>
      <c r="G168" s="513"/>
      <c r="H168" s="1613"/>
      <c r="I168" s="764"/>
      <c r="J168" s="684"/>
      <c r="K168" s="1613"/>
      <c r="L168" s="327"/>
      <c r="M168" s="454"/>
      <c r="N168" s="447"/>
      <c r="O168" s="1737"/>
      <c r="P168" s="1737"/>
      <c r="AH168" s="1744">
        <v>0</v>
      </c>
    </row>
    <row s="8273" customFormat="1" customHeight="1" ht="18.75" hidden="1">
      <c r="A169" s="1893" t="s">
        <v>266</v>
      </c>
      <c r="B169" s="1893" t="s">
        <v>267</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434</v>
      </c>
      <c r="M169" s="454"/>
      <c r="N169" s="447"/>
      <c r="O169" s="1737"/>
      <c r="P169" s="1737"/>
      <c r="AH169" s="1744">
        <v>0</v>
      </c>
    </row>
    <row s="8273" customFormat="1" customHeight="1" ht="18.75" hidden="1">
      <c r="A170" s="1893"/>
      <c r="B170" s="1893"/>
      <c r="C170" s="482" t="s">
        <v>1274</v>
      </c>
      <c r="D170" s="2575"/>
      <c r="E170" s="2317"/>
      <c r="F170" s="2496"/>
      <c r="G170" s="2540"/>
      <c r="H170" s="1613"/>
      <c r="I170" s="764" t="s">
        <v>1273</v>
      </c>
      <c r="J170" s="684"/>
      <c r="K170" s="1613"/>
      <c r="L170" s="327"/>
      <c r="M170" s="454"/>
      <c r="N170" s="447"/>
      <c r="O170" s="1737"/>
      <c r="P170" s="1737"/>
      <c r="AH170" s="1744">
        <v>0</v>
      </c>
    </row>
    <row s="8273" customFormat="1" customHeight="1" ht="0.75" hidden="1">
      <c r="A171" s="1893"/>
      <c r="B171" s="1893"/>
      <c r="C171" s="482" t="s">
        <v>1283</v>
      </c>
      <c r="D171" s="2575"/>
      <c r="E171" s="2317"/>
      <c r="F171" s="2496"/>
      <c r="G171" s="513"/>
      <c r="H171" s="1613"/>
      <c r="I171" s="764"/>
      <c r="J171" s="684"/>
      <c r="K171" s="1613"/>
      <c r="L171" s="327"/>
      <c r="M171" s="454"/>
      <c r="N171" s="447"/>
      <c r="O171" s="1737"/>
      <c r="P171" s="1737"/>
      <c r="AH171" s="1744">
        <v>0</v>
      </c>
    </row>
    <row s="8273" customFormat="1" customHeight="1" ht="18.75" hidden="1">
      <c r="A172" s="1893" t="s">
        <v>272</v>
      </c>
      <c r="B172" s="1893" t="s">
        <v>273</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434</v>
      </c>
      <c r="M172" s="454"/>
      <c r="N172" s="447"/>
      <c r="O172" s="1737"/>
      <c r="P172" s="1737"/>
      <c r="AH172" s="1744">
        <v>0</v>
      </c>
    </row>
    <row s="8273" customFormat="1" customHeight="1" ht="18.75" hidden="1">
      <c r="A173" s="1893"/>
      <c r="B173" s="1893"/>
      <c r="C173" s="482" t="s">
        <v>1274</v>
      </c>
      <c r="D173" s="2575"/>
      <c r="E173" s="2317"/>
      <c r="F173" s="2496"/>
      <c r="G173" s="2540"/>
      <c r="H173" s="1613"/>
      <c r="I173" s="764" t="s">
        <v>1273</v>
      </c>
      <c r="J173" s="684"/>
      <c r="K173" s="1613"/>
      <c r="L173" s="327"/>
      <c r="M173" s="454"/>
      <c r="N173" s="447"/>
      <c r="O173" s="1737"/>
      <c r="P173" s="1737"/>
      <c r="AH173" s="1744">
        <v>0</v>
      </c>
    </row>
    <row s="8273" customFormat="1" customHeight="1" ht="0.75" hidden="1">
      <c r="A174" s="1893"/>
      <c r="B174" s="1893"/>
      <c r="C174" s="482" t="s">
        <v>1283</v>
      </c>
      <c r="D174" s="2575"/>
      <c r="E174" s="2317"/>
      <c r="F174" s="2496"/>
      <c r="G174" s="513"/>
      <c r="H174" s="1613"/>
      <c r="I174" s="764"/>
      <c r="J174" s="684"/>
      <c r="K174" s="1613"/>
      <c r="L174" s="327"/>
      <c r="M174" s="454"/>
      <c r="N174" s="447"/>
      <c r="O174" s="1737"/>
      <c r="P174" s="1737"/>
      <c r="AH174" s="1744">
        <v>0</v>
      </c>
    </row>
    <row s="8273" customFormat="1" customHeight="1" ht="18.75">
      <c r="A175" s="1893" t="s">
        <v>294</v>
      </c>
      <c r="B175" s="1893" t="s">
        <v>295</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Питьевая вода</v>
      </c>
      <c r="H175" s="1975"/>
      <c r="I175" s="7504">
        <v>45658</v>
      </c>
      <c r="J175" s="7505">
        <v>46022</v>
      </c>
      <c r="K175" s="1891">
        <v>1826.707</v>
      </c>
      <c r="L175" s="1975" t="s">
        <v>434</v>
      </c>
      <c r="M175" s="454"/>
      <c r="N175" s="447"/>
      <c r="O175" s="1737"/>
      <c r="P175" s="1737"/>
      <c r="AH175" s="1744">
        <v>0</v>
      </c>
    </row>
    <row s="8273" customFormat="1" customHeight="1" ht="18.75">
      <c r="A176" s="1893"/>
      <c r="B176" s="1893"/>
      <c r="C176" s="482" t="s">
        <v>1274</v>
      </c>
      <c r="D176" s="2575"/>
      <c r="E176" s="2317"/>
      <c r="F176" s="2496"/>
      <c r="G176" s="2540"/>
      <c r="H176" s="1613"/>
      <c r="I176" s="764" t="s">
        <v>1273</v>
      </c>
      <c r="J176" s="684"/>
      <c r="K176" s="1613"/>
      <c r="L176" s="327"/>
      <c r="M176" s="454"/>
      <c r="N176" s="447"/>
      <c r="O176" s="1737"/>
      <c r="P176" s="1737"/>
      <c r="AH176" s="1744">
        <v>0</v>
      </c>
    </row>
    <row s="8273" customFormat="1" customHeight="1" ht="0.75">
      <c r="A177" s="1893"/>
      <c r="B177" s="1893"/>
      <c r="C177" s="482" t="s">
        <v>1283</v>
      </c>
      <c r="D177" s="2575"/>
      <c r="E177" s="2317"/>
      <c r="F177" s="2496"/>
      <c r="G177" s="513"/>
      <c r="H177" s="1613"/>
      <c r="I177" s="764"/>
      <c r="J177" s="684"/>
      <c r="K177" s="1613"/>
      <c r="L177" s="327"/>
      <c r="M177" s="454"/>
      <c r="N177" s="447"/>
      <c r="O177" s="1737"/>
      <c r="P177" s="1737"/>
      <c r="AH177" s="1744">
        <v>0</v>
      </c>
    </row>
    <row s="8273" customFormat="1" customHeight="1" ht="18.75" hidden="1">
      <c r="A178" s="1893" t="s">
        <v>358</v>
      </c>
      <c r="B178" s="1893" t="s">
        <v>359</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434</v>
      </c>
      <c r="M178" s="454"/>
      <c r="N178" s="447"/>
      <c r="O178" s="1737"/>
      <c r="P178" s="1737"/>
      <c r="AH178" s="1744">
        <v>0</v>
      </c>
    </row>
    <row s="8273" customFormat="1" customHeight="1" ht="18.75" hidden="1">
      <c r="A179" s="1893"/>
      <c r="B179" s="1893"/>
      <c r="C179" s="482" t="s">
        <v>1274</v>
      </c>
      <c r="D179" s="2575"/>
      <c r="E179" s="2317"/>
      <c r="F179" s="2496"/>
      <c r="G179" s="2540"/>
      <c r="H179" s="1613"/>
      <c r="I179" s="764" t="s">
        <v>1273</v>
      </c>
      <c r="J179" s="684"/>
      <c r="K179" s="1613"/>
      <c r="L179" s="327"/>
      <c r="M179" s="454"/>
      <c r="N179" s="447"/>
      <c r="O179" s="1737"/>
      <c r="P179" s="1737"/>
      <c r="AH179" s="1744">
        <v>0</v>
      </c>
    </row>
    <row s="8273" customFormat="1" customHeight="1" ht="0.75" hidden="1">
      <c r="A180" s="1893"/>
      <c r="B180" s="1893"/>
      <c r="C180" s="482" t="s">
        <v>1283</v>
      </c>
      <c r="D180" s="2575"/>
      <c r="E180" s="2317"/>
      <c r="F180" s="2496"/>
      <c r="G180" s="513"/>
      <c r="H180" s="1613"/>
      <c r="I180" s="764"/>
      <c r="J180" s="684"/>
      <c r="K180" s="1613"/>
      <c r="L180" s="327"/>
      <c r="M180" s="454"/>
      <c r="N180" s="447"/>
      <c r="O180" s="1737"/>
      <c r="P180" s="1737"/>
      <c r="AH180" s="1744">
        <v>0</v>
      </c>
    </row>
    <row s="8273" customFormat="1" customHeight="1" ht="18.75" hidden="1">
      <c r="A181" s="1893" t="s">
        <v>363</v>
      </c>
      <c r="B181" s="1893" t="s">
        <v>364</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434</v>
      </c>
      <c r="M181" s="454"/>
      <c r="N181" s="447"/>
      <c r="O181" s="1737"/>
      <c r="P181" s="1737"/>
      <c r="AH181" s="1744">
        <v>0</v>
      </c>
    </row>
    <row s="8273" customFormat="1" customHeight="1" ht="18.75" hidden="1">
      <c r="A182" s="1893"/>
      <c r="B182" s="1893"/>
      <c r="C182" s="482" t="s">
        <v>1274</v>
      </c>
      <c r="D182" s="2575"/>
      <c r="E182" s="2317"/>
      <c r="F182" s="2496"/>
      <c r="G182" s="2540"/>
      <c r="H182" s="1613"/>
      <c r="I182" s="764" t="s">
        <v>1273</v>
      </c>
      <c r="J182" s="684"/>
      <c r="K182" s="1613"/>
      <c r="L182" s="327"/>
      <c r="M182" s="454"/>
      <c r="N182" s="447"/>
      <c r="O182" s="1737"/>
      <c r="P182" s="1737"/>
      <c r="AH182" s="1744">
        <v>0</v>
      </c>
    </row>
    <row s="8273" customFormat="1" customHeight="1" ht="0.75" hidden="1">
      <c r="A183" s="1893"/>
      <c r="B183" s="1893"/>
      <c r="C183" s="482" t="s">
        <v>1283</v>
      </c>
      <c r="D183" s="2575"/>
      <c r="E183" s="2317"/>
      <c r="F183" s="2496"/>
      <c r="G183" s="513"/>
      <c r="H183" s="1613"/>
      <c r="I183" s="764"/>
      <c r="J183" s="684"/>
      <c r="K183" s="1613"/>
      <c r="L183" s="327"/>
      <c r="M183" s="454"/>
      <c r="N183" s="447"/>
      <c r="O183" s="1737"/>
      <c r="P183" s="1737"/>
      <c r="AH183" s="1744">
        <v>0</v>
      </c>
    </row>
    <row s="8273" customFormat="1" customHeight="1" ht="18.75" hidden="1">
      <c r="A184" s="1893" t="s">
        <v>368</v>
      </c>
      <c r="B184" s="1893" t="s">
        <v>369</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434</v>
      </c>
      <c r="M184" s="454"/>
      <c r="N184" s="447"/>
      <c r="O184" s="1737"/>
      <c r="P184" s="1737"/>
      <c r="AH184" s="1744">
        <v>0</v>
      </c>
    </row>
    <row s="8273" customFormat="1" customHeight="1" ht="18.75" hidden="1">
      <c r="A185" s="1893"/>
      <c r="B185" s="1893"/>
      <c r="C185" s="482" t="s">
        <v>1274</v>
      </c>
      <c r="D185" s="2575"/>
      <c r="E185" s="2317"/>
      <c r="F185" s="2496"/>
      <c r="G185" s="2540"/>
      <c r="H185" s="1613"/>
      <c r="I185" s="764" t="s">
        <v>1273</v>
      </c>
      <c r="J185" s="684"/>
      <c r="K185" s="1613"/>
      <c r="L185" s="327"/>
      <c r="M185" s="454"/>
      <c r="N185" s="447"/>
      <c r="O185" s="1737"/>
      <c r="P185" s="1737"/>
      <c r="AH185" s="1744">
        <v>0</v>
      </c>
    </row>
    <row s="8273" customFormat="1" customHeight="1" ht="0.75" hidden="1">
      <c r="A186" s="1893"/>
      <c r="B186" s="1893"/>
      <c r="C186" s="482" t="s">
        <v>1283</v>
      </c>
      <c r="D186" s="2575"/>
      <c r="E186" s="2317"/>
      <c r="F186" s="2496"/>
      <c r="G186" s="513"/>
      <c r="H186" s="1613"/>
      <c r="I186" s="764"/>
      <c r="J186" s="684"/>
      <c r="K186" s="1613"/>
      <c r="L186" s="327"/>
      <c r="M186" s="454"/>
      <c r="N186" s="447"/>
      <c r="O186" s="1737"/>
      <c r="P186" s="1737"/>
      <c r="AH186" s="1744">
        <v>0</v>
      </c>
    </row>
    <row s="8273" customFormat="1" customHeight="1" ht="18.75" hidden="1">
      <c r="A187" s="1893" t="s">
        <v>373</v>
      </c>
      <c r="B187" s="1893" t="s">
        <v>374</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434</v>
      </c>
      <c r="M187" s="454"/>
      <c r="N187" s="447"/>
      <c r="O187" s="1737"/>
      <c r="P187" s="1737"/>
      <c r="AH187" s="1744">
        <v>0</v>
      </c>
    </row>
    <row s="8273" customFormat="1" customHeight="1" ht="18.75" hidden="1">
      <c r="A188" s="1893"/>
      <c r="B188" s="1893"/>
      <c r="C188" s="482" t="s">
        <v>1274</v>
      </c>
      <c r="D188" s="2575"/>
      <c r="E188" s="2317"/>
      <c r="F188" s="2496"/>
      <c r="G188" s="2540"/>
      <c r="H188" s="1613"/>
      <c r="I188" s="764" t="s">
        <v>1273</v>
      </c>
      <c r="J188" s="684"/>
      <c r="K188" s="1613"/>
      <c r="L188" s="327"/>
      <c r="M188" s="454"/>
      <c r="N188" s="447"/>
      <c r="O188" s="1737"/>
      <c r="P188" s="1737"/>
      <c r="AH188" s="1744">
        <v>0</v>
      </c>
    </row>
    <row s="8273" customFormat="1" customHeight="1" ht="0.75" hidden="1">
      <c r="A189" s="1893"/>
      <c r="B189" s="1893"/>
      <c r="C189" s="482" t="s">
        <v>1283</v>
      </c>
      <c r="D189" s="2575"/>
      <c r="E189" s="2317"/>
      <c r="F189" s="2496"/>
      <c r="G189" s="513"/>
      <c r="H189" s="1613"/>
      <c r="I189" s="764"/>
      <c r="J189" s="684"/>
      <c r="K189" s="1613"/>
      <c r="L189" s="327"/>
      <c r="M189" s="454"/>
      <c r="N189" s="447"/>
      <c r="O189" s="1737"/>
      <c r="P189" s="1737"/>
      <c r="AH189" s="1744">
        <v>0</v>
      </c>
    </row>
    <row s="8273" customFormat="1" customHeight="1" ht="18.75" hidden="1">
      <c r="A190" s="1893" t="s">
        <v>378</v>
      </c>
      <c r="B190" s="1893" t="s">
        <v>379</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434</v>
      </c>
      <c r="M190" s="454"/>
      <c r="N190" s="447"/>
      <c r="O190" s="1737"/>
      <c r="P190" s="1737"/>
      <c r="AH190" s="1744">
        <v>0</v>
      </c>
    </row>
    <row s="8273" customFormat="1" customHeight="1" ht="18.75" hidden="1">
      <c r="A191" s="1893"/>
      <c r="B191" s="1893"/>
      <c r="C191" s="482" t="s">
        <v>1274</v>
      </c>
      <c r="D191" s="2575"/>
      <c r="E191" s="2317"/>
      <c r="F191" s="2496"/>
      <c r="G191" s="2540"/>
      <c r="H191" s="1613"/>
      <c r="I191" s="764" t="s">
        <v>1273</v>
      </c>
      <c r="J191" s="684"/>
      <c r="K191" s="1613"/>
      <c r="L191" s="327"/>
      <c r="M191" s="454"/>
      <c r="N191" s="447"/>
      <c r="O191" s="1737"/>
      <c r="P191" s="1737"/>
      <c r="AH191" s="1744">
        <v>0</v>
      </c>
    </row>
    <row s="8273" customFormat="1" customHeight="1" ht="0.75" hidden="1">
      <c r="A192" s="1893"/>
      <c r="B192" s="1893"/>
      <c r="C192" s="482" t="s">
        <v>1283</v>
      </c>
      <c r="D192" s="2575"/>
      <c r="E192" s="2317"/>
      <c r="F192" s="2496"/>
      <c r="G192" s="513"/>
      <c r="H192" s="1613"/>
      <c r="I192" s="764"/>
      <c r="J192" s="684"/>
      <c r="K192" s="1613"/>
      <c r="L192" s="327"/>
      <c r="M192" s="454"/>
      <c r="N192" s="447"/>
      <c r="O192" s="1737"/>
      <c r="P192" s="1737"/>
      <c r="AH192" s="1744">
        <v>0</v>
      </c>
    </row>
    <row s="8273" customFormat="1" customHeight="1" ht="18.75" hidden="1">
      <c r="A193" s="1893" t="s">
        <v>383</v>
      </c>
      <c r="B193" s="1893" t="s">
        <v>384</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434</v>
      </c>
      <c r="M193" s="454"/>
      <c r="N193" s="447"/>
      <c r="O193" s="1737"/>
      <c r="P193" s="1737"/>
      <c r="AH193" s="1744">
        <v>0</v>
      </c>
    </row>
    <row s="8273" customFormat="1" customHeight="1" ht="18.75" hidden="1">
      <c r="A194" s="1893"/>
      <c r="B194" s="1893"/>
      <c r="C194" s="482" t="s">
        <v>1274</v>
      </c>
      <c r="D194" s="2575"/>
      <c r="E194" s="2317"/>
      <c r="F194" s="2496"/>
      <c r="G194" s="2540"/>
      <c r="H194" s="1613"/>
      <c r="I194" s="764" t="s">
        <v>1273</v>
      </c>
      <c r="J194" s="684"/>
      <c r="K194" s="1613"/>
      <c r="L194" s="327"/>
      <c r="M194" s="454"/>
      <c r="N194" s="447"/>
      <c r="O194" s="1737"/>
      <c r="P194" s="1737"/>
      <c r="AH194" s="1744">
        <v>0</v>
      </c>
    </row>
    <row s="8273" customFormat="1" customHeight="1" ht="0.75" hidden="1">
      <c r="A195" s="1893"/>
      <c r="B195" s="1893"/>
      <c r="C195" s="482" t="s">
        <v>1283</v>
      </c>
      <c r="D195" s="2575"/>
      <c r="E195" s="2317"/>
      <c r="F195" s="2496"/>
      <c r="G195" s="513"/>
      <c r="H195" s="1613"/>
      <c r="I195" s="764"/>
      <c r="J195" s="684"/>
      <c r="K195" s="1613"/>
      <c r="L195" s="327"/>
      <c r="M195" s="454"/>
      <c r="N195" s="447"/>
      <c r="O195" s="1737"/>
      <c r="P195" s="1737"/>
      <c r="AH195" s="1744">
        <v>0</v>
      </c>
    </row>
    <row s="8273" customFormat="1" customHeight="1" ht="18.75" hidden="1">
      <c r="A196" s="1893" t="s">
        <v>388</v>
      </c>
      <c r="B196" s="1893" t="s">
        <v>389</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434</v>
      </c>
      <c r="M196" s="454"/>
      <c r="N196" s="447"/>
      <c r="O196" s="1737"/>
      <c r="P196" s="1737"/>
      <c r="AH196" s="1744">
        <v>0</v>
      </c>
    </row>
    <row s="8273" customFormat="1" customHeight="1" ht="18.75" hidden="1">
      <c r="A197" s="1893"/>
      <c r="B197" s="1893"/>
      <c r="C197" s="482" t="s">
        <v>1274</v>
      </c>
      <c r="D197" s="2575"/>
      <c r="E197" s="2317"/>
      <c r="F197" s="2496"/>
      <c r="G197" s="2540"/>
      <c r="H197" s="1613"/>
      <c r="I197" s="764" t="s">
        <v>1273</v>
      </c>
      <c r="J197" s="684"/>
      <c r="K197" s="1613"/>
      <c r="L197" s="327"/>
      <c r="M197" s="454"/>
      <c r="N197" s="447"/>
      <c r="O197" s="1737"/>
      <c r="P197" s="1737"/>
      <c r="AH197" s="1744">
        <v>0</v>
      </c>
    </row>
    <row s="8273" customFormat="1" customHeight="1" ht="0.75" hidden="1">
      <c r="A198" s="1893"/>
      <c r="B198" s="1893"/>
      <c r="C198" s="482" t="s">
        <v>1283</v>
      </c>
      <c r="D198" s="2575"/>
      <c r="E198" s="2317"/>
      <c r="F198" s="2496"/>
      <c r="G198" s="513"/>
      <c r="H198" s="1613"/>
      <c r="I198" s="764"/>
      <c r="J198" s="684"/>
      <c r="K198" s="1613"/>
      <c r="L198" s="327"/>
      <c r="M198" s="454"/>
      <c r="N198" s="447"/>
      <c r="O198" s="1737"/>
      <c r="P198" s="1737"/>
      <c r="AH198" s="1744">
        <v>0</v>
      </c>
    </row>
    <row s="8273" customFormat="1" customHeight="1" ht="18.75" hidden="1">
      <c r="A199" s="1893" t="s">
        <v>393</v>
      </c>
      <c r="B199" s="1893" t="s">
        <v>394</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434</v>
      </c>
      <c r="M199" s="454"/>
      <c r="N199" s="447"/>
      <c r="O199" s="1737"/>
      <c r="P199" s="1737"/>
      <c r="AH199" s="1744">
        <v>0</v>
      </c>
    </row>
    <row s="8273" customFormat="1" customHeight="1" ht="18.75" hidden="1">
      <c r="A200" s="1893"/>
      <c r="B200" s="1893"/>
      <c r="C200" s="482" t="s">
        <v>1274</v>
      </c>
      <c r="D200" s="2575"/>
      <c r="E200" s="2317"/>
      <c r="F200" s="2496"/>
      <c r="G200" s="2540"/>
      <c r="H200" s="1613"/>
      <c r="I200" s="764" t="s">
        <v>1273</v>
      </c>
      <c r="J200" s="684"/>
      <c r="K200" s="1613"/>
      <c r="L200" s="327"/>
      <c r="M200" s="454"/>
      <c r="N200" s="447"/>
      <c r="O200" s="1737"/>
      <c r="P200" s="1737"/>
      <c r="AH200" s="1744">
        <v>0</v>
      </c>
    </row>
    <row s="8273" customFormat="1" customHeight="1" ht="0.75" hidden="1">
      <c r="A201" s="1893"/>
      <c r="B201" s="1893"/>
      <c r="C201" s="482" t="s">
        <v>1283</v>
      </c>
      <c r="D201" s="2575"/>
      <c r="E201" s="2317"/>
      <c r="F201" s="2496"/>
      <c r="G201" s="513"/>
      <c r="H201" s="1613"/>
      <c r="I201" s="764"/>
      <c r="J201" s="684"/>
      <c r="K201" s="1613"/>
      <c r="L201" s="327"/>
      <c r="M201" s="454"/>
      <c r="N201" s="447"/>
      <c r="O201" s="1737"/>
      <c r="P201" s="1737"/>
      <c r="AH201" s="1744">
        <v>0</v>
      </c>
    </row>
    <row s="8273" customFormat="1" customHeight="1" ht="18.75" hidden="1">
      <c r="A202" s="1893" t="s">
        <v>398</v>
      </c>
      <c r="B202" s="1893" t="s">
        <v>399</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434</v>
      </c>
      <c r="M202" s="454"/>
      <c r="N202" s="447"/>
      <c r="O202" s="1737"/>
      <c r="P202" s="1737"/>
      <c r="AH202" s="1744">
        <v>0</v>
      </c>
    </row>
    <row s="8273" customFormat="1" customHeight="1" ht="18.75" hidden="1">
      <c r="A203" s="1893"/>
      <c r="B203" s="1893"/>
      <c r="C203" s="482" t="s">
        <v>1274</v>
      </c>
      <c r="D203" s="2575"/>
      <c r="E203" s="2317"/>
      <c r="F203" s="2496"/>
      <c r="G203" s="2540"/>
      <c r="H203" s="1613"/>
      <c r="I203" s="764" t="s">
        <v>1273</v>
      </c>
      <c r="J203" s="684"/>
      <c r="K203" s="1613"/>
      <c r="L203" s="327"/>
      <c r="M203" s="454"/>
      <c r="N203" s="447"/>
      <c r="O203" s="1737"/>
      <c r="P203" s="1737"/>
      <c r="AH203" s="1744">
        <v>0</v>
      </c>
    </row>
    <row s="8273" customFormat="1" customHeight="1" ht="0.75" hidden="1">
      <c r="A204" s="1893"/>
      <c r="B204" s="1893"/>
      <c r="C204" s="482" t="s">
        <v>1283</v>
      </c>
      <c r="D204" s="2575"/>
      <c r="E204" s="2317"/>
      <c r="F204" s="2496"/>
      <c r="G204" s="513"/>
      <c r="H204" s="1613"/>
      <c r="I204" s="764"/>
      <c r="J204" s="684"/>
      <c r="K204" s="1613"/>
      <c r="L204" s="327"/>
      <c r="M204" s="454"/>
      <c r="N204" s="447"/>
      <c r="O204" s="1737"/>
      <c r="P204" s="1737"/>
      <c r="AH204" s="1744">
        <v>0</v>
      </c>
    </row>
    <row s="8273" customFormat="1" customHeight="1" ht="18.75" hidden="1">
      <c r="A205" s="1893" t="s">
        <v>403</v>
      </c>
      <c r="B205" s="1893" t="s">
        <v>404</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434</v>
      </c>
      <c r="M205" s="454"/>
      <c r="N205" s="447"/>
      <c r="O205" s="1737"/>
      <c r="P205" s="1737"/>
      <c r="AH205" s="1744">
        <v>0</v>
      </c>
    </row>
    <row s="8273" customFormat="1" customHeight="1" ht="18.75" hidden="1">
      <c r="A206" s="1893"/>
      <c r="B206" s="1893"/>
      <c r="C206" s="482" t="s">
        <v>1274</v>
      </c>
      <c r="D206" s="2575"/>
      <c r="E206" s="2317"/>
      <c r="F206" s="2496"/>
      <c r="G206" s="2540"/>
      <c r="H206" s="1613"/>
      <c r="I206" s="764" t="s">
        <v>1273</v>
      </c>
      <c r="J206" s="684"/>
      <c r="K206" s="1613"/>
      <c r="L206" s="327"/>
      <c r="M206" s="454"/>
      <c r="N206" s="447"/>
      <c r="O206" s="1737"/>
      <c r="P206" s="1737"/>
      <c r="AH206" s="1744">
        <v>0</v>
      </c>
    </row>
    <row s="8273" customFormat="1" customHeight="1" ht="1.05">
      <c r="A207" s="1893"/>
      <c r="B207" s="1893"/>
      <c r="C207" s="482" t="s">
        <v>1283</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118</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73"/>
      <c r="H208" s="2573"/>
      <c r="I208" s="2573"/>
      <c r="J208" s="2573"/>
      <c r="K208" s="2573"/>
      <c r="L208" s="2573"/>
      <c r="M208" s="410"/>
      <c r="N208" s="447"/>
      <c r="AH208" s="487">
        <v>26</v>
      </c>
    </row>
    <row s="8273" customFormat="1" customHeight="1" ht="60.75" hidden="1">
      <c r="A209" s="1893" t="s">
        <v>224</v>
      </c>
      <c r="B209" s="1893" t="s">
        <v>225</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434</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47"/>
      <c r="O209" s="1737"/>
      <c r="P209" s="1737"/>
      <c r="AH209" s="1744">
        <v>0</v>
      </c>
    </row>
    <row s="8273" customFormat="1" customHeight="1" ht="18.75" hidden="1">
      <c r="A210" s="1893"/>
      <c r="B210" s="1893"/>
      <c r="C210" s="482" t="s">
        <v>1274</v>
      </c>
      <c r="D210" s="2575"/>
      <c r="E210" s="2317"/>
      <c r="F210" s="2496"/>
      <c r="G210" s="2540"/>
      <c r="H210" s="1613"/>
      <c r="I210" s="764" t="s">
        <v>1273</v>
      </c>
      <c r="J210" s="684"/>
      <c r="K210" s="1613"/>
      <c r="L210" s="327"/>
      <c r="M210" s="2283"/>
      <c r="N210" s="447"/>
      <c r="O210" s="1737"/>
      <c r="P210" s="1737"/>
      <c r="AH210" s="1744">
        <v>0</v>
      </c>
    </row>
    <row s="8273" customFormat="1" customHeight="1" ht="0.75" hidden="1">
      <c r="A211" s="1893"/>
      <c r="B211" s="1893"/>
      <c r="C211" s="482" t="s">
        <v>1283</v>
      </c>
      <c r="D211" s="2575"/>
      <c r="E211" s="2317"/>
      <c r="F211" s="2496"/>
      <c r="G211" s="513"/>
      <c r="H211" s="1613"/>
      <c r="I211" s="764"/>
      <c r="J211" s="684"/>
      <c r="K211" s="1613"/>
      <c r="L211" s="327"/>
      <c r="M211" s="2283"/>
      <c r="N211" s="447"/>
      <c r="O211" s="1737"/>
      <c r="P211" s="1737"/>
      <c r="AH211" s="1744">
        <v>0</v>
      </c>
    </row>
    <row s="8273" customFormat="1" customHeight="1" ht="45" hidden="1">
      <c r="A212" s="1893" t="s">
        <v>229</v>
      </c>
      <c r="B212" s="1893" t="s">
        <v>230</v>
      </c>
      <c r="C212" s="482"/>
      <c r="D212" s="2575"/>
      <c r="E212" s="2317"/>
      <c r="F212" s="2496" t="str">
        <f>INDEX(PT_DIFFERENTIATION_VTAR,MATCH(A212,PT_DIFFERENTIATION_VTAR_ID,0))</f>
        <v/>
      </c>
      <c r="G212" s="2540" t="str">
        <f>INDEX(PT_DIFFERENTIATION_NTAR,MATCH(B212,PT_DIFFERENTIATION_NTAR_ID,0))</f>
        <v/>
      </c>
      <c r="H212" s="1975"/>
      <c r="I212" s="1852"/>
      <c r="J212" s="1886"/>
      <c r="K212" s="1891"/>
      <c r="L212" s="1975" t="s">
        <v>434</v>
      </c>
      <c r="M212" s="2284"/>
      <c r="N212" s="447"/>
      <c r="O212" s="1737"/>
      <c r="P212" s="1737"/>
      <c r="AH212" s="1744">
        <v>0</v>
      </c>
    </row>
    <row s="8273" customFormat="1" customHeight="1" ht="18.75" hidden="1">
      <c r="A213" s="1893"/>
      <c r="B213" s="1893"/>
      <c r="C213" s="482" t="s">
        <v>1274</v>
      </c>
      <c r="D213" s="2575"/>
      <c r="E213" s="2317"/>
      <c r="F213" s="2496"/>
      <c r="G213" s="2540"/>
      <c r="H213" s="1613"/>
      <c r="I213" s="764" t="s">
        <v>1273</v>
      </c>
      <c r="J213" s="684"/>
      <c r="K213" s="1613"/>
      <c r="L213" s="327"/>
      <c r="M213" s="1974"/>
      <c r="N213" s="447"/>
      <c r="O213" s="1737"/>
      <c r="P213" s="1737"/>
      <c r="AH213" s="1744">
        <v>0</v>
      </c>
    </row>
    <row s="8273" customFormat="1" customHeight="1" ht="0.75" hidden="1">
      <c r="A214" s="1893"/>
      <c r="B214" s="1893"/>
      <c r="C214" s="482" t="s">
        <v>1283</v>
      </c>
      <c r="D214" s="2575"/>
      <c r="E214" s="2317"/>
      <c r="F214" s="2496"/>
      <c r="G214" s="513"/>
      <c r="H214" s="1613"/>
      <c r="I214" s="764"/>
      <c r="J214" s="684"/>
      <c r="K214" s="1613"/>
      <c r="L214" s="327"/>
      <c r="M214" s="454"/>
      <c r="N214" s="447"/>
      <c r="O214" s="1737"/>
      <c r="P214" s="1737"/>
      <c r="AH214" s="1744">
        <v>0</v>
      </c>
    </row>
    <row s="8273" customFormat="1" customHeight="1" ht="45" hidden="1">
      <c r="A215" s="1893" t="s">
        <v>236</v>
      </c>
      <c r="B215" s="1893" t="s">
        <v>237</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434</v>
      </c>
      <c r="M215" s="454"/>
      <c r="N215" s="447"/>
      <c r="O215" s="1737"/>
      <c r="P215" s="1737"/>
      <c r="AH215" s="1744">
        <v>0</v>
      </c>
    </row>
    <row s="8273" customFormat="1" customHeight="1" ht="18.75" hidden="1">
      <c r="A216" s="1893"/>
      <c r="B216" s="1893"/>
      <c r="C216" s="482" t="s">
        <v>1274</v>
      </c>
      <c r="D216" s="2575"/>
      <c r="E216" s="2317"/>
      <c r="F216" s="2496"/>
      <c r="G216" s="2540"/>
      <c r="H216" s="1613"/>
      <c r="I216" s="764" t="s">
        <v>1273</v>
      </c>
      <c r="J216" s="684"/>
      <c r="K216" s="1613"/>
      <c r="L216" s="327"/>
      <c r="M216" s="454"/>
      <c r="N216" s="447"/>
      <c r="O216" s="1737"/>
      <c r="P216" s="1737"/>
      <c r="AH216" s="1744">
        <v>0</v>
      </c>
    </row>
    <row s="8273" customFormat="1" customHeight="1" ht="0.75" hidden="1">
      <c r="A217" s="1893"/>
      <c r="B217" s="1893"/>
      <c r="C217" s="482" t="s">
        <v>1283</v>
      </c>
      <c r="D217" s="2575"/>
      <c r="E217" s="2317"/>
      <c r="F217" s="2496"/>
      <c r="G217" s="513"/>
      <c r="H217" s="1613"/>
      <c r="I217" s="764"/>
      <c r="J217" s="684"/>
      <c r="K217" s="1613"/>
      <c r="L217" s="327"/>
      <c r="M217" s="454"/>
      <c r="N217" s="447"/>
      <c r="O217" s="1737"/>
      <c r="P217" s="1737"/>
      <c r="AH217" s="1744">
        <v>0</v>
      </c>
    </row>
    <row s="8273" customFormat="1" customHeight="1" ht="45" hidden="1">
      <c r="A218" s="1893" t="s">
        <v>242</v>
      </c>
      <c r="B218" s="1893" t="s">
        <v>243</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434</v>
      </c>
      <c r="M218" s="454"/>
      <c r="N218" s="447"/>
      <c r="O218" s="1737"/>
      <c r="P218" s="1737"/>
      <c r="AH218" s="1744">
        <v>0</v>
      </c>
    </row>
    <row s="8273" customFormat="1" customHeight="1" ht="18.75" hidden="1">
      <c r="A219" s="1893"/>
      <c r="B219" s="1893"/>
      <c r="C219" s="482" t="s">
        <v>1274</v>
      </c>
      <c r="D219" s="2575"/>
      <c r="E219" s="2317"/>
      <c r="F219" s="2496"/>
      <c r="G219" s="2540"/>
      <c r="H219" s="1613"/>
      <c r="I219" s="764" t="s">
        <v>1273</v>
      </c>
      <c r="J219" s="684"/>
      <c r="K219" s="1613"/>
      <c r="L219" s="327"/>
      <c r="M219" s="454"/>
      <c r="N219" s="447"/>
      <c r="O219" s="1737"/>
      <c r="P219" s="1737"/>
      <c r="AH219" s="1744">
        <v>0</v>
      </c>
    </row>
    <row s="8273" customFormat="1" customHeight="1" ht="0.75" hidden="1">
      <c r="A220" s="1893"/>
      <c r="B220" s="1893"/>
      <c r="C220" s="482" t="s">
        <v>1283</v>
      </c>
      <c r="D220" s="2575"/>
      <c r="E220" s="2317"/>
      <c r="F220" s="2496"/>
      <c r="G220" s="513"/>
      <c r="H220" s="1613"/>
      <c r="I220" s="764"/>
      <c r="J220" s="684"/>
      <c r="K220" s="1613"/>
      <c r="L220" s="327"/>
      <c r="M220" s="454"/>
      <c r="N220" s="447"/>
      <c r="O220" s="1737"/>
      <c r="P220" s="1737"/>
      <c r="AH220" s="1744">
        <v>0</v>
      </c>
    </row>
    <row s="8273" customFormat="1" customHeight="1" ht="18.75" hidden="1">
      <c r="A221" s="1893" t="s">
        <v>248</v>
      </c>
      <c r="B221" s="1893" t="s">
        <v>249</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434</v>
      </c>
      <c r="M221" s="454"/>
      <c r="N221" s="447"/>
      <c r="O221" s="1737"/>
      <c r="P221" s="1737"/>
      <c r="AH221" s="1744">
        <v>0</v>
      </c>
    </row>
    <row s="8273" customFormat="1" customHeight="1" ht="18.75" hidden="1">
      <c r="A222" s="1893"/>
      <c r="B222" s="1893"/>
      <c r="C222" s="482" t="s">
        <v>1274</v>
      </c>
      <c r="D222" s="2575"/>
      <c r="E222" s="2317"/>
      <c r="F222" s="2496"/>
      <c r="G222" s="2540"/>
      <c r="H222" s="1613"/>
      <c r="I222" s="764" t="s">
        <v>1273</v>
      </c>
      <c r="J222" s="684"/>
      <c r="K222" s="1613"/>
      <c r="L222" s="327"/>
      <c r="M222" s="454"/>
      <c r="N222" s="447"/>
      <c r="O222" s="1737"/>
      <c r="P222" s="1737"/>
      <c r="AH222" s="1744">
        <v>0</v>
      </c>
    </row>
    <row s="8273" customFormat="1" customHeight="1" ht="0.75" hidden="1">
      <c r="A223" s="1893"/>
      <c r="B223" s="1893"/>
      <c r="C223" s="482" t="s">
        <v>1283</v>
      </c>
      <c r="D223" s="2575"/>
      <c r="E223" s="2317"/>
      <c r="F223" s="2496"/>
      <c r="G223" s="513"/>
      <c r="H223" s="1613"/>
      <c r="I223" s="764"/>
      <c r="J223" s="684"/>
      <c r="K223" s="1613"/>
      <c r="L223" s="327"/>
      <c r="M223" s="454"/>
      <c r="N223" s="447"/>
      <c r="O223" s="1737"/>
      <c r="P223" s="1737"/>
      <c r="AH223" s="1744">
        <v>0</v>
      </c>
    </row>
    <row s="8273" customFormat="1" customHeight="1" ht="18.75" hidden="1">
      <c r="A224" s="1893" t="s">
        <v>254</v>
      </c>
      <c r="B224" s="1893" t="s">
        <v>255</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434</v>
      </c>
      <c r="M224" s="454"/>
      <c r="N224" s="447"/>
      <c r="O224" s="1737"/>
      <c r="P224" s="1737"/>
      <c r="AH224" s="1744">
        <v>0</v>
      </c>
    </row>
    <row s="8273" customFormat="1" customHeight="1" ht="18.75" hidden="1">
      <c r="A225" s="1893"/>
      <c r="B225" s="1893"/>
      <c r="C225" s="482" t="s">
        <v>1274</v>
      </c>
      <c r="D225" s="2575"/>
      <c r="E225" s="2317"/>
      <c r="F225" s="2496"/>
      <c r="G225" s="2540"/>
      <c r="H225" s="1613"/>
      <c r="I225" s="764" t="s">
        <v>1273</v>
      </c>
      <c r="J225" s="684"/>
      <c r="K225" s="1613"/>
      <c r="L225" s="327"/>
      <c r="M225" s="454"/>
      <c r="N225" s="447"/>
      <c r="O225" s="1737"/>
      <c r="P225" s="1737"/>
      <c r="AH225" s="1744">
        <v>0</v>
      </c>
    </row>
    <row s="8273" customFormat="1" customHeight="1" ht="0.75" hidden="1">
      <c r="A226" s="1893"/>
      <c r="B226" s="1893"/>
      <c r="C226" s="482" t="s">
        <v>1283</v>
      </c>
      <c r="D226" s="2575"/>
      <c r="E226" s="2317"/>
      <c r="F226" s="2496"/>
      <c r="G226" s="513"/>
      <c r="H226" s="1613"/>
      <c r="I226" s="764"/>
      <c r="J226" s="684"/>
      <c r="K226" s="1613"/>
      <c r="L226" s="327"/>
      <c r="M226" s="454"/>
      <c r="N226" s="447"/>
      <c r="O226" s="1737"/>
      <c r="P226" s="1737"/>
      <c r="AH226" s="1744">
        <v>0</v>
      </c>
    </row>
    <row s="8273" customFormat="1" customHeight="1" ht="18.75" hidden="1">
      <c r="A227" s="1893" t="s">
        <v>260</v>
      </c>
      <c r="B227" s="1893" t="s">
        <v>261</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434</v>
      </c>
      <c r="M227" s="454"/>
      <c r="N227" s="447"/>
      <c r="O227" s="1737"/>
      <c r="P227" s="1737"/>
      <c r="AH227" s="1744">
        <v>0</v>
      </c>
    </row>
    <row s="8273" customFormat="1" customHeight="1" ht="18.75" hidden="1">
      <c r="A228" s="1893"/>
      <c r="B228" s="1893"/>
      <c r="C228" s="482" t="s">
        <v>1274</v>
      </c>
      <c r="D228" s="2575"/>
      <c r="E228" s="2317"/>
      <c r="F228" s="2496"/>
      <c r="G228" s="2540"/>
      <c r="H228" s="1613"/>
      <c r="I228" s="764" t="s">
        <v>1273</v>
      </c>
      <c r="J228" s="684"/>
      <c r="K228" s="1613"/>
      <c r="L228" s="327"/>
      <c r="M228" s="454"/>
      <c r="N228" s="447"/>
      <c r="O228" s="1737"/>
      <c r="P228" s="1737"/>
      <c r="AH228" s="1744">
        <v>0</v>
      </c>
    </row>
    <row s="8273" customFormat="1" customHeight="1" ht="0.75" hidden="1">
      <c r="A229" s="1893"/>
      <c r="B229" s="1893"/>
      <c r="C229" s="482" t="s">
        <v>1283</v>
      </c>
      <c r="D229" s="2575"/>
      <c r="E229" s="2317"/>
      <c r="F229" s="2496"/>
      <c r="G229" s="513"/>
      <c r="H229" s="1613"/>
      <c r="I229" s="764"/>
      <c r="J229" s="684"/>
      <c r="K229" s="1613"/>
      <c r="L229" s="327"/>
      <c r="M229" s="454"/>
      <c r="N229" s="447"/>
      <c r="O229" s="1737"/>
      <c r="P229" s="1737"/>
      <c r="AH229" s="1744">
        <v>0</v>
      </c>
    </row>
    <row s="8273" customFormat="1" customHeight="1" ht="18.75" hidden="1">
      <c r="A230" s="1893" t="s">
        <v>266</v>
      </c>
      <c r="B230" s="1893" t="s">
        <v>267</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434</v>
      </c>
      <c r="M230" s="454"/>
      <c r="N230" s="447"/>
      <c r="O230" s="1737"/>
      <c r="P230" s="1737"/>
      <c r="AH230" s="1744">
        <v>0</v>
      </c>
    </row>
    <row s="8273" customFormat="1" customHeight="1" ht="18.75" hidden="1">
      <c r="A231" s="1893"/>
      <c r="B231" s="1893"/>
      <c r="C231" s="482" t="s">
        <v>1274</v>
      </c>
      <c r="D231" s="2575"/>
      <c r="E231" s="2317"/>
      <c r="F231" s="2496"/>
      <c r="G231" s="2540"/>
      <c r="H231" s="1613"/>
      <c r="I231" s="764" t="s">
        <v>1273</v>
      </c>
      <c r="J231" s="684"/>
      <c r="K231" s="1613"/>
      <c r="L231" s="327"/>
      <c r="M231" s="454"/>
      <c r="N231" s="447"/>
      <c r="O231" s="1737"/>
      <c r="P231" s="1737"/>
      <c r="AH231" s="1744">
        <v>0</v>
      </c>
    </row>
    <row s="8273" customFormat="1" customHeight="1" ht="0.75" hidden="1">
      <c r="A232" s="1893"/>
      <c r="B232" s="1893"/>
      <c r="C232" s="482" t="s">
        <v>1283</v>
      </c>
      <c r="D232" s="2575"/>
      <c r="E232" s="2317"/>
      <c r="F232" s="2496"/>
      <c r="G232" s="513"/>
      <c r="H232" s="1613"/>
      <c r="I232" s="764"/>
      <c r="J232" s="684"/>
      <c r="K232" s="1613"/>
      <c r="L232" s="327"/>
      <c r="M232" s="454"/>
      <c r="N232" s="447"/>
      <c r="O232" s="1737"/>
      <c r="P232" s="1737"/>
      <c r="AH232" s="1744">
        <v>0</v>
      </c>
    </row>
    <row s="8273" customFormat="1" customHeight="1" ht="18.75" hidden="1">
      <c r="A233" s="1893" t="s">
        <v>272</v>
      </c>
      <c r="B233" s="1893" t="s">
        <v>273</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434</v>
      </c>
      <c r="M233" s="454"/>
      <c r="N233" s="447"/>
      <c r="O233" s="1737"/>
      <c r="P233" s="1737"/>
      <c r="AH233" s="1744">
        <v>0</v>
      </c>
    </row>
    <row s="8273" customFormat="1" customHeight="1" ht="18.75" hidden="1">
      <c r="A234" s="1893"/>
      <c r="B234" s="1893"/>
      <c r="C234" s="482" t="s">
        <v>1274</v>
      </c>
      <c r="D234" s="2575"/>
      <c r="E234" s="2317"/>
      <c r="F234" s="2496"/>
      <c r="G234" s="2540"/>
      <c r="H234" s="1613"/>
      <c r="I234" s="764" t="s">
        <v>1273</v>
      </c>
      <c r="J234" s="684"/>
      <c r="K234" s="1613"/>
      <c r="L234" s="327"/>
      <c r="M234" s="454"/>
      <c r="N234" s="447"/>
      <c r="O234" s="1737"/>
      <c r="P234" s="1737"/>
      <c r="AH234" s="1744">
        <v>0</v>
      </c>
    </row>
    <row s="8273" customFormat="1" customHeight="1" ht="0.75" hidden="1">
      <c r="A235" s="1893"/>
      <c r="B235" s="1893"/>
      <c r="C235" s="482" t="s">
        <v>1283</v>
      </c>
      <c r="D235" s="2575"/>
      <c r="E235" s="2317"/>
      <c r="F235" s="2496"/>
      <c r="G235" s="513"/>
      <c r="H235" s="1613"/>
      <c r="I235" s="764"/>
      <c r="J235" s="684"/>
      <c r="K235" s="1613"/>
      <c r="L235" s="327"/>
      <c r="M235" s="454"/>
      <c r="N235" s="447"/>
      <c r="O235" s="1737"/>
      <c r="P235" s="1737"/>
      <c r="AH235" s="1744">
        <v>0</v>
      </c>
    </row>
    <row s="8273" customFormat="1" customHeight="1" ht="18.75">
      <c r="A236" s="1893" t="s">
        <v>294</v>
      </c>
      <c r="B236" s="1893" t="s">
        <v>295</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Питьевая вода</v>
      </c>
      <c r="H236" s="1975"/>
      <c r="I236" s="7504">
        <v>45658</v>
      </c>
      <c r="J236" s="7505">
        <v>46022</v>
      </c>
      <c r="K236" s="1891">
        <v>26804.62</v>
      </c>
      <c r="L236" s="1975" t="s">
        <v>434</v>
      </c>
      <c r="M236" s="454"/>
      <c r="N236" s="447"/>
      <c r="O236" s="1737"/>
      <c r="P236" s="1737"/>
      <c r="AH236" s="1744">
        <v>0</v>
      </c>
    </row>
    <row s="8273" customFormat="1" customHeight="1" ht="18.75">
      <c r="A237" s="1893"/>
      <c r="B237" s="1893"/>
      <c r="C237" s="482" t="s">
        <v>1274</v>
      </c>
      <c r="D237" s="2575"/>
      <c r="E237" s="2317"/>
      <c r="F237" s="2496"/>
      <c r="G237" s="2540"/>
      <c r="H237" s="1613"/>
      <c r="I237" s="764" t="s">
        <v>1273</v>
      </c>
      <c r="J237" s="684"/>
      <c r="K237" s="1613"/>
      <c r="L237" s="327"/>
      <c r="M237" s="454"/>
      <c r="N237" s="447"/>
      <c r="O237" s="1737"/>
      <c r="P237" s="1737"/>
      <c r="AH237" s="1744">
        <v>0</v>
      </c>
    </row>
    <row s="8273" customFormat="1" customHeight="1" ht="0.75">
      <c r="A238" s="1893"/>
      <c r="B238" s="1893"/>
      <c r="C238" s="482" t="s">
        <v>1283</v>
      </c>
      <c r="D238" s="2575"/>
      <c r="E238" s="2317"/>
      <c r="F238" s="2496"/>
      <c r="G238" s="513"/>
      <c r="H238" s="1613"/>
      <c r="I238" s="764"/>
      <c r="J238" s="684"/>
      <c r="K238" s="1613"/>
      <c r="L238" s="327"/>
      <c r="M238" s="454"/>
      <c r="N238" s="447"/>
      <c r="O238" s="1737"/>
      <c r="P238" s="1737"/>
      <c r="AH238" s="1744">
        <v>0</v>
      </c>
    </row>
    <row s="8273" customFormat="1" customHeight="1" ht="18.75" hidden="1">
      <c r="A239" s="1893" t="s">
        <v>358</v>
      </c>
      <c r="B239" s="1893" t="s">
        <v>359</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434</v>
      </c>
      <c r="M239" s="454"/>
      <c r="N239" s="447"/>
      <c r="O239" s="1737"/>
      <c r="P239" s="1737"/>
      <c r="AH239" s="1744">
        <v>0</v>
      </c>
    </row>
    <row s="8273" customFormat="1" customHeight="1" ht="18.75" hidden="1">
      <c r="A240" s="1893"/>
      <c r="B240" s="1893"/>
      <c r="C240" s="482" t="s">
        <v>1274</v>
      </c>
      <c r="D240" s="2575"/>
      <c r="E240" s="2317"/>
      <c r="F240" s="2496"/>
      <c r="G240" s="2540"/>
      <c r="H240" s="1613"/>
      <c r="I240" s="764" t="s">
        <v>1273</v>
      </c>
      <c r="J240" s="684"/>
      <c r="K240" s="1613"/>
      <c r="L240" s="327"/>
      <c r="M240" s="454"/>
      <c r="N240" s="447"/>
      <c r="O240" s="1737"/>
      <c r="P240" s="1737"/>
      <c r="AH240" s="1744">
        <v>0</v>
      </c>
    </row>
    <row s="8273" customFormat="1" customHeight="1" ht="0.75" hidden="1">
      <c r="A241" s="1893"/>
      <c r="B241" s="1893"/>
      <c r="C241" s="482" t="s">
        <v>1283</v>
      </c>
      <c r="D241" s="2575"/>
      <c r="E241" s="2317"/>
      <c r="F241" s="2496"/>
      <c r="G241" s="513"/>
      <c r="H241" s="1613"/>
      <c r="I241" s="764"/>
      <c r="J241" s="684"/>
      <c r="K241" s="1613"/>
      <c r="L241" s="327"/>
      <c r="M241" s="454"/>
      <c r="N241" s="447"/>
      <c r="O241" s="1737"/>
      <c r="P241" s="1737"/>
      <c r="AH241" s="1744">
        <v>0</v>
      </c>
    </row>
    <row s="8273" customFormat="1" customHeight="1" ht="18.75" hidden="1">
      <c r="A242" s="1893" t="s">
        <v>363</v>
      </c>
      <c r="B242" s="1893" t="s">
        <v>364</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434</v>
      </c>
      <c r="M242" s="454"/>
      <c r="N242" s="447"/>
      <c r="O242" s="1737"/>
      <c r="P242" s="1737"/>
      <c r="AH242" s="1744">
        <v>0</v>
      </c>
    </row>
    <row s="8273" customFormat="1" customHeight="1" ht="18.75" hidden="1">
      <c r="A243" s="1893"/>
      <c r="B243" s="1893"/>
      <c r="C243" s="482" t="s">
        <v>1274</v>
      </c>
      <c r="D243" s="2575"/>
      <c r="E243" s="2317"/>
      <c r="F243" s="2496"/>
      <c r="G243" s="2540"/>
      <c r="H243" s="1613"/>
      <c r="I243" s="764" t="s">
        <v>1273</v>
      </c>
      <c r="J243" s="684"/>
      <c r="K243" s="1613"/>
      <c r="L243" s="327"/>
      <c r="M243" s="454"/>
      <c r="N243" s="447"/>
      <c r="O243" s="1737"/>
      <c r="P243" s="1737"/>
      <c r="AH243" s="1744">
        <v>0</v>
      </c>
    </row>
    <row s="8273" customFormat="1" customHeight="1" ht="0.75" hidden="1">
      <c r="A244" s="1893"/>
      <c r="B244" s="1893"/>
      <c r="C244" s="482" t="s">
        <v>1283</v>
      </c>
      <c r="D244" s="2575"/>
      <c r="E244" s="2317"/>
      <c r="F244" s="2496"/>
      <c r="G244" s="513"/>
      <c r="H244" s="1613"/>
      <c r="I244" s="764"/>
      <c r="J244" s="684"/>
      <c r="K244" s="1613"/>
      <c r="L244" s="327"/>
      <c r="M244" s="454"/>
      <c r="N244" s="447"/>
      <c r="O244" s="1737"/>
      <c r="P244" s="1737"/>
      <c r="AH244" s="1744">
        <v>0</v>
      </c>
    </row>
    <row s="8273" customFormat="1" customHeight="1" ht="18.75" hidden="1">
      <c r="A245" s="1893" t="s">
        <v>368</v>
      </c>
      <c r="B245" s="1893" t="s">
        <v>369</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434</v>
      </c>
      <c r="M245" s="454"/>
      <c r="N245" s="447"/>
      <c r="O245" s="1737"/>
      <c r="P245" s="1737"/>
      <c r="AH245" s="1744">
        <v>0</v>
      </c>
    </row>
    <row s="8273" customFormat="1" customHeight="1" ht="18.75" hidden="1">
      <c r="A246" s="1893"/>
      <c r="B246" s="1893"/>
      <c r="C246" s="482" t="s">
        <v>1274</v>
      </c>
      <c r="D246" s="2575"/>
      <c r="E246" s="2317"/>
      <c r="F246" s="2496"/>
      <c r="G246" s="2540"/>
      <c r="H246" s="1613"/>
      <c r="I246" s="764" t="s">
        <v>1273</v>
      </c>
      <c r="J246" s="684"/>
      <c r="K246" s="1613"/>
      <c r="L246" s="327"/>
      <c r="M246" s="454"/>
      <c r="N246" s="447"/>
      <c r="O246" s="1737"/>
      <c r="P246" s="1737"/>
      <c r="AH246" s="1744">
        <v>0</v>
      </c>
    </row>
    <row s="8273" customFormat="1" customHeight="1" ht="0.75" hidden="1">
      <c r="A247" s="1893"/>
      <c r="B247" s="1893"/>
      <c r="C247" s="482" t="s">
        <v>1283</v>
      </c>
      <c r="D247" s="2575"/>
      <c r="E247" s="2317"/>
      <c r="F247" s="2496"/>
      <c r="G247" s="513"/>
      <c r="H247" s="1613"/>
      <c r="I247" s="764"/>
      <c r="J247" s="684"/>
      <c r="K247" s="1613"/>
      <c r="L247" s="327"/>
      <c r="M247" s="454"/>
      <c r="N247" s="447"/>
      <c r="O247" s="1737"/>
      <c r="P247" s="1737"/>
      <c r="AH247" s="1744">
        <v>0</v>
      </c>
    </row>
    <row s="8273" customFormat="1" customHeight="1" ht="18.75" hidden="1">
      <c r="A248" s="1893" t="s">
        <v>373</v>
      </c>
      <c r="B248" s="1893" t="s">
        <v>374</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434</v>
      </c>
      <c r="M248" s="454"/>
      <c r="N248" s="447"/>
      <c r="O248" s="1737"/>
      <c r="P248" s="1737"/>
      <c r="AH248" s="1744">
        <v>0</v>
      </c>
    </row>
    <row s="8273" customFormat="1" customHeight="1" ht="18.75" hidden="1">
      <c r="A249" s="1893"/>
      <c r="B249" s="1893"/>
      <c r="C249" s="482" t="s">
        <v>1274</v>
      </c>
      <c r="D249" s="2575"/>
      <c r="E249" s="2317"/>
      <c r="F249" s="2496"/>
      <c r="G249" s="2540"/>
      <c r="H249" s="1613"/>
      <c r="I249" s="764" t="s">
        <v>1273</v>
      </c>
      <c r="J249" s="684"/>
      <c r="K249" s="1613"/>
      <c r="L249" s="327"/>
      <c r="M249" s="454"/>
      <c r="N249" s="447"/>
      <c r="O249" s="1737"/>
      <c r="P249" s="1737"/>
      <c r="AH249" s="1744">
        <v>0</v>
      </c>
    </row>
    <row s="8273" customFormat="1" customHeight="1" ht="0.75" hidden="1">
      <c r="A250" s="1893"/>
      <c r="B250" s="1893"/>
      <c r="C250" s="482" t="s">
        <v>1283</v>
      </c>
      <c r="D250" s="2575"/>
      <c r="E250" s="2317"/>
      <c r="F250" s="2496"/>
      <c r="G250" s="513"/>
      <c r="H250" s="1613"/>
      <c r="I250" s="764"/>
      <c r="J250" s="684"/>
      <c r="K250" s="1613"/>
      <c r="L250" s="327"/>
      <c r="M250" s="454"/>
      <c r="N250" s="447"/>
      <c r="O250" s="1737"/>
      <c r="P250" s="1737"/>
      <c r="AH250" s="1744">
        <v>0</v>
      </c>
    </row>
    <row s="8273" customFormat="1" customHeight="1" ht="18.75" hidden="1">
      <c r="A251" s="1893" t="s">
        <v>378</v>
      </c>
      <c r="B251" s="1893" t="s">
        <v>379</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434</v>
      </c>
      <c r="M251" s="454"/>
      <c r="N251" s="447"/>
      <c r="O251" s="1737"/>
      <c r="P251" s="1737"/>
      <c r="AH251" s="1744">
        <v>0</v>
      </c>
    </row>
    <row s="8273" customFormat="1" customHeight="1" ht="18.75" hidden="1">
      <c r="A252" s="1893"/>
      <c r="B252" s="1893"/>
      <c r="C252" s="482" t="s">
        <v>1274</v>
      </c>
      <c r="D252" s="2575"/>
      <c r="E252" s="2317"/>
      <c r="F252" s="2496"/>
      <c r="G252" s="2540"/>
      <c r="H252" s="1613"/>
      <c r="I252" s="764" t="s">
        <v>1273</v>
      </c>
      <c r="J252" s="684"/>
      <c r="K252" s="1613"/>
      <c r="L252" s="327"/>
      <c r="M252" s="454"/>
      <c r="N252" s="447"/>
      <c r="O252" s="1737"/>
      <c r="P252" s="1737"/>
      <c r="AH252" s="1744">
        <v>0</v>
      </c>
    </row>
    <row s="8273" customFormat="1" customHeight="1" ht="0.75" hidden="1">
      <c r="A253" s="1893"/>
      <c r="B253" s="1893"/>
      <c r="C253" s="482" t="s">
        <v>1283</v>
      </c>
      <c r="D253" s="2575"/>
      <c r="E253" s="2317"/>
      <c r="F253" s="2496"/>
      <c r="G253" s="513"/>
      <c r="H253" s="1613"/>
      <c r="I253" s="764"/>
      <c r="J253" s="684"/>
      <c r="K253" s="1613"/>
      <c r="L253" s="327"/>
      <c r="M253" s="454"/>
      <c r="N253" s="447"/>
      <c r="O253" s="1737"/>
      <c r="P253" s="1737"/>
      <c r="AH253" s="1744">
        <v>0</v>
      </c>
    </row>
    <row s="8273" customFormat="1" customHeight="1" ht="18.75" hidden="1">
      <c r="A254" s="1893" t="s">
        <v>383</v>
      </c>
      <c r="B254" s="1893" t="s">
        <v>384</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434</v>
      </c>
      <c r="M254" s="454"/>
      <c r="N254" s="447"/>
      <c r="O254" s="1737"/>
      <c r="P254" s="1737"/>
      <c r="AH254" s="1744">
        <v>0</v>
      </c>
    </row>
    <row s="8273" customFormat="1" customHeight="1" ht="18.75" hidden="1">
      <c r="A255" s="1893"/>
      <c r="B255" s="1893"/>
      <c r="C255" s="482" t="s">
        <v>1274</v>
      </c>
      <c r="D255" s="2575"/>
      <c r="E255" s="2317"/>
      <c r="F255" s="2496"/>
      <c r="G255" s="2540"/>
      <c r="H255" s="1613"/>
      <c r="I255" s="764" t="s">
        <v>1273</v>
      </c>
      <c r="J255" s="684"/>
      <c r="K255" s="1613"/>
      <c r="L255" s="327"/>
      <c r="M255" s="454"/>
      <c r="N255" s="447"/>
      <c r="O255" s="1737"/>
      <c r="P255" s="1737"/>
      <c r="AH255" s="1744">
        <v>0</v>
      </c>
    </row>
    <row s="8273" customFormat="1" customHeight="1" ht="0.75" hidden="1">
      <c r="A256" s="1893"/>
      <c r="B256" s="1893"/>
      <c r="C256" s="482" t="s">
        <v>1283</v>
      </c>
      <c r="D256" s="2575"/>
      <c r="E256" s="2317"/>
      <c r="F256" s="2496"/>
      <c r="G256" s="513"/>
      <c r="H256" s="1613"/>
      <c r="I256" s="764"/>
      <c r="J256" s="684"/>
      <c r="K256" s="1613"/>
      <c r="L256" s="327"/>
      <c r="M256" s="454"/>
      <c r="N256" s="447"/>
      <c r="O256" s="1737"/>
      <c r="P256" s="1737"/>
      <c r="AH256" s="1744">
        <v>0</v>
      </c>
    </row>
    <row s="8273" customFormat="1" customHeight="1" ht="18.75" hidden="1">
      <c r="A257" s="1893" t="s">
        <v>388</v>
      </c>
      <c r="B257" s="1893" t="s">
        <v>389</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434</v>
      </c>
      <c r="M257" s="454"/>
      <c r="N257" s="447"/>
      <c r="O257" s="1737"/>
      <c r="P257" s="1737"/>
      <c r="AH257" s="1744">
        <v>0</v>
      </c>
    </row>
    <row s="8273" customFormat="1" customHeight="1" ht="18.75" hidden="1">
      <c r="A258" s="1893"/>
      <c r="B258" s="1893"/>
      <c r="C258" s="482" t="s">
        <v>1274</v>
      </c>
      <c r="D258" s="2575"/>
      <c r="E258" s="2317"/>
      <c r="F258" s="2496"/>
      <c r="G258" s="2540"/>
      <c r="H258" s="1613"/>
      <c r="I258" s="764" t="s">
        <v>1273</v>
      </c>
      <c r="J258" s="684"/>
      <c r="K258" s="1613"/>
      <c r="L258" s="327"/>
      <c r="M258" s="454"/>
      <c r="N258" s="447"/>
      <c r="O258" s="1737"/>
      <c r="P258" s="1737"/>
      <c r="AH258" s="1744">
        <v>0</v>
      </c>
    </row>
    <row s="8273" customFormat="1" customHeight="1" ht="0.75" hidden="1">
      <c r="A259" s="1893"/>
      <c r="B259" s="1893"/>
      <c r="C259" s="482" t="s">
        <v>1283</v>
      </c>
      <c r="D259" s="2575"/>
      <c r="E259" s="2317"/>
      <c r="F259" s="2496"/>
      <c r="G259" s="513"/>
      <c r="H259" s="1613"/>
      <c r="I259" s="764"/>
      <c r="J259" s="684"/>
      <c r="K259" s="1613"/>
      <c r="L259" s="327"/>
      <c r="M259" s="454"/>
      <c r="N259" s="447"/>
      <c r="O259" s="1737"/>
      <c r="P259" s="1737"/>
      <c r="AH259" s="1744">
        <v>0</v>
      </c>
    </row>
    <row s="8273" customFormat="1" customHeight="1" ht="18.75" hidden="1">
      <c r="A260" s="1893" t="s">
        <v>393</v>
      </c>
      <c r="B260" s="1893" t="s">
        <v>394</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434</v>
      </c>
      <c r="M260" s="454"/>
      <c r="N260" s="447"/>
      <c r="O260" s="1737"/>
      <c r="P260" s="1737"/>
      <c r="AH260" s="1744">
        <v>0</v>
      </c>
    </row>
    <row s="8273" customFormat="1" customHeight="1" ht="18.75" hidden="1">
      <c r="A261" s="1893"/>
      <c r="B261" s="1893"/>
      <c r="C261" s="482" t="s">
        <v>1274</v>
      </c>
      <c r="D261" s="2575"/>
      <c r="E261" s="2317"/>
      <c r="F261" s="2496"/>
      <c r="G261" s="2540"/>
      <c r="H261" s="1613"/>
      <c r="I261" s="764" t="s">
        <v>1273</v>
      </c>
      <c r="J261" s="684"/>
      <c r="K261" s="1613"/>
      <c r="L261" s="327"/>
      <c r="M261" s="454"/>
      <c r="N261" s="447"/>
      <c r="O261" s="1737"/>
      <c r="P261" s="1737"/>
      <c r="AH261" s="1744">
        <v>0</v>
      </c>
    </row>
    <row s="8273" customFormat="1" customHeight="1" ht="0.75" hidden="1">
      <c r="A262" s="1893"/>
      <c r="B262" s="1893"/>
      <c r="C262" s="482" t="s">
        <v>1283</v>
      </c>
      <c r="D262" s="2575"/>
      <c r="E262" s="2317"/>
      <c r="F262" s="2496"/>
      <c r="G262" s="513"/>
      <c r="H262" s="1613"/>
      <c r="I262" s="764"/>
      <c r="J262" s="684"/>
      <c r="K262" s="1613"/>
      <c r="L262" s="327"/>
      <c r="M262" s="454"/>
      <c r="N262" s="447"/>
      <c r="O262" s="1737"/>
      <c r="P262" s="1737"/>
      <c r="AH262" s="1744">
        <v>0</v>
      </c>
    </row>
    <row s="8273" customFormat="1" customHeight="1" ht="18.75" hidden="1">
      <c r="A263" s="1893" t="s">
        <v>398</v>
      </c>
      <c r="B263" s="1893" t="s">
        <v>399</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434</v>
      </c>
      <c r="M263" s="454"/>
      <c r="N263" s="447"/>
      <c r="O263" s="1737"/>
      <c r="P263" s="1737"/>
      <c r="AH263" s="1744">
        <v>0</v>
      </c>
    </row>
    <row s="8273" customFormat="1" customHeight="1" ht="18.75" hidden="1">
      <c r="A264" s="1893"/>
      <c r="B264" s="1893"/>
      <c r="C264" s="482" t="s">
        <v>1274</v>
      </c>
      <c r="D264" s="2575"/>
      <c r="E264" s="2317"/>
      <c r="F264" s="2496"/>
      <c r="G264" s="2540"/>
      <c r="H264" s="1613"/>
      <c r="I264" s="764" t="s">
        <v>1273</v>
      </c>
      <c r="J264" s="684"/>
      <c r="K264" s="1613"/>
      <c r="L264" s="327"/>
      <c r="M264" s="454"/>
      <c r="N264" s="447"/>
      <c r="O264" s="1737"/>
      <c r="P264" s="1737"/>
      <c r="AH264" s="1744">
        <v>0</v>
      </c>
    </row>
    <row s="8273" customFormat="1" customHeight="1" ht="0.75" hidden="1">
      <c r="A265" s="1893"/>
      <c r="B265" s="1893"/>
      <c r="C265" s="482" t="s">
        <v>1283</v>
      </c>
      <c r="D265" s="2575"/>
      <c r="E265" s="2317"/>
      <c r="F265" s="2496"/>
      <c r="G265" s="513"/>
      <c r="H265" s="1613"/>
      <c r="I265" s="764"/>
      <c r="J265" s="684"/>
      <c r="K265" s="1613"/>
      <c r="L265" s="327"/>
      <c r="M265" s="454"/>
      <c r="N265" s="447"/>
      <c r="O265" s="1737"/>
      <c r="P265" s="1737"/>
      <c r="AH265" s="1744">
        <v>0</v>
      </c>
    </row>
    <row s="8273" customFormat="1" customHeight="1" ht="18.75" hidden="1">
      <c r="A266" s="1893" t="s">
        <v>403</v>
      </c>
      <c r="B266" s="1893" t="s">
        <v>404</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434</v>
      </c>
      <c r="M266" s="454"/>
      <c r="N266" s="447"/>
      <c r="O266" s="1737"/>
      <c r="P266" s="1737"/>
      <c r="AH266" s="1744">
        <v>0</v>
      </c>
    </row>
    <row s="8273" customFormat="1" customHeight="1" ht="18.75" hidden="1">
      <c r="A267" s="1893"/>
      <c r="B267" s="1893"/>
      <c r="C267" s="482" t="s">
        <v>1274</v>
      </c>
      <c r="D267" s="2575"/>
      <c r="E267" s="2317"/>
      <c r="F267" s="2496"/>
      <c r="G267" s="2540"/>
      <c r="H267" s="1613"/>
      <c r="I267" s="764" t="s">
        <v>1273</v>
      </c>
      <c r="J267" s="684"/>
      <c r="K267" s="1613"/>
      <c r="L267" s="327"/>
      <c r="M267" s="454"/>
      <c r="N267" s="447"/>
      <c r="O267" s="1737"/>
      <c r="P267" s="1737"/>
      <c r="AH267" s="1744">
        <v>0</v>
      </c>
    </row>
    <row s="8273" customFormat="1" customHeight="1" ht="1.05">
      <c r="A268" s="1893"/>
      <c r="B268" s="1893"/>
      <c r="C268" s="482" t="s">
        <v>1283</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92</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73"/>
      <c r="H269" s="2573"/>
      <c r="I269" s="2573"/>
      <c r="J269" s="2573"/>
      <c r="K269" s="2573"/>
      <c r="L269" s="2573"/>
      <c r="M269" s="410"/>
      <c r="N269" s="447"/>
      <c r="AH269" s="487">
        <v>26</v>
      </c>
    </row>
    <row s="8273" customFormat="1" customHeight="1" ht="60.75" hidden="1">
      <c r="A270" s="1893" t="s">
        <v>224</v>
      </c>
      <c r="B270" s="1893" t="s">
        <v>225</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434</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8273" customFormat="1" customHeight="1" ht="18.75" hidden="1">
      <c r="A271" s="1893"/>
      <c r="B271" s="1893"/>
      <c r="C271" s="482" t="s">
        <v>1274</v>
      </c>
      <c r="D271" s="2575"/>
      <c r="E271" s="2317"/>
      <c r="F271" s="2496"/>
      <c r="G271" s="2540"/>
      <c r="H271" s="1613"/>
      <c r="I271" s="764" t="s">
        <v>1273</v>
      </c>
      <c r="J271" s="684"/>
      <c r="K271" s="1613"/>
      <c r="L271" s="327"/>
      <c r="M271" s="2283"/>
      <c r="N271" s="447"/>
      <c r="O271" s="1737"/>
      <c r="P271" s="1737"/>
      <c r="AH271" s="1744">
        <v>0</v>
      </c>
    </row>
    <row s="8273" customFormat="1" customHeight="1" ht="0.75" hidden="1">
      <c r="A272" s="1893"/>
      <c r="B272" s="1893"/>
      <c r="C272" s="482" t="s">
        <v>1283</v>
      </c>
      <c r="D272" s="2575"/>
      <c r="E272" s="2317"/>
      <c r="F272" s="2496"/>
      <c r="G272" s="513"/>
      <c r="H272" s="1613"/>
      <c r="I272" s="764"/>
      <c r="J272" s="684"/>
      <c r="K272" s="1613"/>
      <c r="L272" s="327"/>
      <c r="M272" s="2283"/>
      <c r="N272" s="447"/>
      <c r="O272" s="1737"/>
      <c r="P272" s="1737"/>
      <c r="AH272" s="1744">
        <v>0</v>
      </c>
    </row>
    <row s="8273" customFormat="1" customHeight="1" ht="45" hidden="1">
      <c r="A273" s="1893" t="s">
        <v>229</v>
      </c>
      <c r="B273" s="1893" t="s">
        <v>230</v>
      </c>
      <c r="C273" s="482"/>
      <c r="D273" s="2575"/>
      <c r="E273" s="2317"/>
      <c r="F273" s="2496" t="str">
        <f>INDEX(PT_DIFFERENTIATION_VTAR,MATCH(A273,PT_DIFFERENTIATION_VTAR_ID,0))</f>
        <v/>
      </c>
      <c r="G273" s="2540" t="str">
        <f>INDEX(PT_DIFFERENTIATION_NTAR,MATCH(B273,PT_DIFFERENTIATION_NTAR_ID,0))</f>
        <v/>
      </c>
      <c r="H273" s="1975"/>
      <c r="I273" s="1852"/>
      <c r="J273" s="1886"/>
      <c r="K273" s="1891"/>
      <c r="L273" s="1975" t="s">
        <v>434</v>
      </c>
      <c r="M273" s="2284"/>
      <c r="N273" s="447"/>
      <c r="O273" s="1737"/>
      <c r="P273" s="1737"/>
      <c r="AH273" s="1744">
        <v>0</v>
      </c>
    </row>
    <row s="8273" customFormat="1" customHeight="1" ht="18.75" hidden="1">
      <c r="A274" s="1893"/>
      <c r="B274" s="1893"/>
      <c r="C274" s="482" t="s">
        <v>1274</v>
      </c>
      <c r="D274" s="2575"/>
      <c r="E274" s="2317"/>
      <c r="F274" s="2496"/>
      <c r="G274" s="2540"/>
      <c r="H274" s="1613"/>
      <c r="I274" s="764" t="s">
        <v>1273</v>
      </c>
      <c r="J274" s="684"/>
      <c r="K274" s="1613"/>
      <c r="L274" s="327"/>
      <c r="M274" s="1974"/>
      <c r="N274" s="447"/>
      <c r="O274" s="1737"/>
      <c r="P274" s="1737"/>
      <c r="AH274" s="1744">
        <v>0</v>
      </c>
    </row>
    <row s="8273" customFormat="1" customHeight="1" ht="0.75" hidden="1">
      <c r="A275" s="1893"/>
      <c r="B275" s="1893"/>
      <c r="C275" s="482" t="s">
        <v>1283</v>
      </c>
      <c r="D275" s="2575"/>
      <c r="E275" s="2317"/>
      <c r="F275" s="2496"/>
      <c r="G275" s="513"/>
      <c r="H275" s="1613"/>
      <c r="I275" s="764"/>
      <c r="J275" s="684"/>
      <c r="K275" s="1613"/>
      <c r="L275" s="327"/>
      <c r="M275" s="454"/>
      <c r="N275" s="447"/>
      <c r="O275" s="1737"/>
      <c r="P275" s="1737"/>
      <c r="AH275" s="1744">
        <v>0</v>
      </c>
    </row>
    <row s="8273" customFormat="1" customHeight="1" ht="45" hidden="1">
      <c r="A276" s="1893" t="s">
        <v>236</v>
      </c>
      <c r="B276" s="1893" t="s">
        <v>237</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434</v>
      </c>
      <c r="M276" s="454"/>
      <c r="N276" s="447"/>
      <c r="O276" s="1737"/>
      <c r="P276" s="1737"/>
      <c r="AH276" s="1744">
        <v>0</v>
      </c>
    </row>
    <row s="8273" customFormat="1" customHeight="1" ht="18.75" hidden="1">
      <c r="A277" s="1893"/>
      <c r="B277" s="1893"/>
      <c r="C277" s="482" t="s">
        <v>1274</v>
      </c>
      <c r="D277" s="2575"/>
      <c r="E277" s="2317"/>
      <c r="F277" s="2496"/>
      <c r="G277" s="2540"/>
      <c r="H277" s="1613"/>
      <c r="I277" s="764" t="s">
        <v>1273</v>
      </c>
      <c r="J277" s="684"/>
      <c r="K277" s="1613"/>
      <c r="L277" s="327"/>
      <c r="M277" s="454"/>
      <c r="N277" s="447"/>
      <c r="O277" s="1737"/>
      <c r="P277" s="1737"/>
      <c r="AH277" s="1744">
        <v>0</v>
      </c>
    </row>
    <row s="8273" customFormat="1" customHeight="1" ht="0.75" hidden="1">
      <c r="A278" s="1893"/>
      <c r="B278" s="1893"/>
      <c r="C278" s="482" t="s">
        <v>1283</v>
      </c>
      <c r="D278" s="2575"/>
      <c r="E278" s="2317"/>
      <c r="F278" s="2496"/>
      <c r="G278" s="513"/>
      <c r="H278" s="1613"/>
      <c r="I278" s="764"/>
      <c r="J278" s="684"/>
      <c r="K278" s="1613"/>
      <c r="L278" s="327"/>
      <c r="M278" s="454"/>
      <c r="N278" s="447"/>
      <c r="O278" s="1737"/>
      <c r="P278" s="1737"/>
      <c r="AH278" s="1744">
        <v>0</v>
      </c>
    </row>
    <row s="8273" customFormat="1" customHeight="1" ht="45" hidden="1">
      <c r="A279" s="1893" t="s">
        <v>242</v>
      </c>
      <c r="B279" s="1893" t="s">
        <v>243</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434</v>
      </c>
      <c r="M279" s="454"/>
      <c r="N279" s="447"/>
      <c r="O279" s="1737"/>
      <c r="P279" s="1737"/>
      <c r="AH279" s="1744">
        <v>0</v>
      </c>
    </row>
    <row s="8273" customFormat="1" customHeight="1" ht="18.75" hidden="1">
      <c r="A280" s="1893"/>
      <c r="B280" s="1893"/>
      <c r="C280" s="482" t="s">
        <v>1274</v>
      </c>
      <c r="D280" s="2575"/>
      <c r="E280" s="2317"/>
      <c r="F280" s="2496"/>
      <c r="G280" s="2540"/>
      <c r="H280" s="1613"/>
      <c r="I280" s="764" t="s">
        <v>1273</v>
      </c>
      <c r="J280" s="684"/>
      <c r="K280" s="1613"/>
      <c r="L280" s="327"/>
      <c r="M280" s="454"/>
      <c r="N280" s="447"/>
      <c r="O280" s="1737"/>
      <c r="P280" s="1737"/>
      <c r="AH280" s="1744">
        <v>0</v>
      </c>
    </row>
    <row s="8273" customFormat="1" customHeight="1" ht="0.75" hidden="1">
      <c r="A281" s="1893"/>
      <c r="B281" s="1893"/>
      <c r="C281" s="482" t="s">
        <v>1283</v>
      </c>
      <c r="D281" s="2575"/>
      <c r="E281" s="2317"/>
      <c r="F281" s="2496"/>
      <c r="G281" s="513"/>
      <c r="H281" s="1613"/>
      <c r="I281" s="764"/>
      <c r="J281" s="684"/>
      <c r="K281" s="1613"/>
      <c r="L281" s="327"/>
      <c r="M281" s="454"/>
      <c r="N281" s="447"/>
      <c r="O281" s="1737"/>
      <c r="P281" s="1737"/>
      <c r="AH281" s="1744">
        <v>0</v>
      </c>
    </row>
    <row s="8273" customFormat="1" customHeight="1" ht="18.75" hidden="1">
      <c r="A282" s="1893" t="s">
        <v>248</v>
      </c>
      <c r="B282" s="1893" t="s">
        <v>249</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434</v>
      </c>
      <c r="M282" s="454"/>
      <c r="N282" s="447"/>
      <c r="O282" s="1737"/>
      <c r="P282" s="1737"/>
      <c r="AH282" s="1744">
        <v>0</v>
      </c>
    </row>
    <row s="8273" customFormat="1" customHeight="1" ht="18.75" hidden="1">
      <c r="A283" s="1893"/>
      <c r="B283" s="1893"/>
      <c r="C283" s="482" t="s">
        <v>1274</v>
      </c>
      <c r="D283" s="2575"/>
      <c r="E283" s="2317"/>
      <c r="F283" s="2496"/>
      <c r="G283" s="2540"/>
      <c r="H283" s="1613"/>
      <c r="I283" s="764" t="s">
        <v>1273</v>
      </c>
      <c r="J283" s="684"/>
      <c r="K283" s="1613"/>
      <c r="L283" s="327"/>
      <c r="M283" s="454"/>
      <c r="N283" s="447"/>
      <c r="O283" s="1737"/>
      <c r="P283" s="1737"/>
      <c r="AH283" s="1744">
        <v>0</v>
      </c>
    </row>
    <row s="8273" customFormat="1" customHeight="1" ht="0.75" hidden="1">
      <c r="A284" s="1893"/>
      <c r="B284" s="1893"/>
      <c r="C284" s="482" t="s">
        <v>1283</v>
      </c>
      <c r="D284" s="2575"/>
      <c r="E284" s="2317"/>
      <c r="F284" s="2496"/>
      <c r="G284" s="513"/>
      <c r="H284" s="1613"/>
      <c r="I284" s="764"/>
      <c r="J284" s="684"/>
      <c r="K284" s="1613"/>
      <c r="L284" s="327"/>
      <c r="M284" s="454"/>
      <c r="N284" s="447"/>
      <c r="O284" s="1737"/>
      <c r="P284" s="1737"/>
      <c r="AH284" s="1744">
        <v>0</v>
      </c>
    </row>
    <row s="8273" customFormat="1" customHeight="1" ht="18.75" hidden="1">
      <c r="A285" s="1893" t="s">
        <v>254</v>
      </c>
      <c r="B285" s="1893" t="s">
        <v>255</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434</v>
      </c>
      <c r="M285" s="454"/>
      <c r="N285" s="447"/>
      <c r="O285" s="1737"/>
      <c r="P285" s="1737"/>
      <c r="AH285" s="1744">
        <v>0</v>
      </c>
    </row>
    <row s="8273" customFormat="1" customHeight="1" ht="18.75" hidden="1">
      <c r="A286" s="1893"/>
      <c r="B286" s="1893"/>
      <c r="C286" s="482" t="s">
        <v>1274</v>
      </c>
      <c r="D286" s="2575"/>
      <c r="E286" s="2317"/>
      <c r="F286" s="2496"/>
      <c r="G286" s="2540"/>
      <c r="H286" s="1613"/>
      <c r="I286" s="764" t="s">
        <v>1273</v>
      </c>
      <c r="J286" s="684"/>
      <c r="K286" s="1613"/>
      <c r="L286" s="327"/>
      <c r="M286" s="454"/>
      <c r="N286" s="447"/>
      <c r="O286" s="1737"/>
      <c r="P286" s="1737"/>
      <c r="AH286" s="1744">
        <v>0</v>
      </c>
    </row>
    <row s="8273" customFormat="1" customHeight="1" ht="0.75" hidden="1">
      <c r="A287" s="1893"/>
      <c r="B287" s="1893"/>
      <c r="C287" s="482" t="s">
        <v>1283</v>
      </c>
      <c r="D287" s="2575"/>
      <c r="E287" s="2317"/>
      <c r="F287" s="2496"/>
      <c r="G287" s="513"/>
      <c r="H287" s="1613"/>
      <c r="I287" s="764"/>
      <c r="J287" s="684"/>
      <c r="K287" s="1613"/>
      <c r="L287" s="327"/>
      <c r="M287" s="454"/>
      <c r="N287" s="447"/>
      <c r="O287" s="1737"/>
      <c r="P287" s="1737"/>
      <c r="AH287" s="1744">
        <v>0</v>
      </c>
    </row>
    <row s="8273" customFormat="1" customHeight="1" ht="18.75" hidden="1">
      <c r="A288" s="1893" t="s">
        <v>260</v>
      </c>
      <c r="B288" s="1893" t="s">
        <v>261</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434</v>
      </c>
      <c r="M288" s="454"/>
      <c r="N288" s="447"/>
      <c r="O288" s="1737"/>
      <c r="P288" s="1737"/>
      <c r="AH288" s="1744">
        <v>0</v>
      </c>
    </row>
    <row s="8273" customFormat="1" customHeight="1" ht="18.75" hidden="1">
      <c r="A289" s="1893"/>
      <c r="B289" s="1893"/>
      <c r="C289" s="482" t="s">
        <v>1274</v>
      </c>
      <c r="D289" s="2575"/>
      <c r="E289" s="2317"/>
      <c r="F289" s="2496"/>
      <c r="G289" s="2540"/>
      <c r="H289" s="1613"/>
      <c r="I289" s="764" t="s">
        <v>1273</v>
      </c>
      <c r="J289" s="684"/>
      <c r="K289" s="1613"/>
      <c r="L289" s="327"/>
      <c r="M289" s="454"/>
      <c r="N289" s="447"/>
      <c r="O289" s="1737"/>
      <c r="P289" s="1737"/>
      <c r="AH289" s="1744">
        <v>0</v>
      </c>
    </row>
    <row s="8273" customFormat="1" customHeight="1" ht="0.75" hidden="1">
      <c r="A290" s="1893"/>
      <c r="B290" s="1893"/>
      <c r="C290" s="482" t="s">
        <v>1283</v>
      </c>
      <c r="D290" s="2575"/>
      <c r="E290" s="2317"/>
      <c r="F290" s="2496"/>
      <c r="G290" s="513"/>
      <c r="H290" s="1613"/>
      <c r="I290" s="764"/>
      <c r="J290" s="684"/>
      <c r="K290" s="1613"/>
      <c r="L290" s="327"/>
      <c r="M290" s="454"/>
      <c r="N290" s="447"/>
      <c r="O290" s="1737"/>
      <c r="P290" s="1737"/>
      <c r="AH290" s="1744">
        <v>0</v>
      </c>
    </row>
    <row s="8273" customFormat="1" customHeight="1" ht="18.75" hidden="1">
      <c r="A291" s="1893" t="s">
        <v>266</v>
      </c>
      <c r="B291" s="1893" t="s">
        <v>267</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434</v>
      </c>
      <c r="M291" s="454"/>
      <c r="N291" s="447"/>
      <c r="O291" s="1737"/>
      <c r="P291" s="1737"/>
      <c r="AH291" s="1744">
        <v>0</v>
      </c>
    </row>
    <row s="8273" customFormat="1" customHeight="1" ht="18.75" hidden="1">
      <c r="A292" s="1893"/>
      <c r="B292" s="1893"/>
      <c r="C292" s="482" t="s">
        <v>1274</v>
      </c>
      <c r="D292" s="2575"/>
      <c r="E292" s="2317"/>
      <c r="F292" s="2496"/>
      <c r="G292" s="2540"/>
      <c r="H292" s="1613"/>
      <c r="I292" s="764" t="s">
        <v>1273</v>
      </c>
      <c r="J292" s="684"/>
      <c r="K292" s="1613"/>
      <c r="L292" s="327"/>
      <c r="M292" s="454"/>
      <c r="N292" s="447"/>
      <c r="O292" s="1737"/>
      <c r="P292" s="1737"/>
      <c r="AH292" s="1744">
        <v>0</v>
      </c>
    </row>
    <row s="8273" customFormat="1" customHeight="1" ht="0.75" hidden="1">
      <c r="A293" s="1893"/>
      <c r="B293" s="1893"/>
      <c r="C293" s="482" t="s">
        <v>1283</v>
      </c>
      <c r="D293" s="2575"/>
      <c r="E293" s="2317"/>
      <c r="F293" s="2496"/>
      <c r="G293" s="513"/>
      <c r="H293" s="1613"/>
      <c r="I293" s="764"/>
      <c r="J293" s="684"/>
      <c r="K293" s="1613"/>
      <c r="L293" s="327"/>
      <c r="M293" s="454"/>
      <c r="N293" s="447"/>
      <c r="O293" s="1737"/>
      <c r="P293" s="1737"/>
      <c r="AH293" s="1744">
        <v>0</v>
      </c>
    </row>
    <row s="8273" customFormat="1" customHeight="1" ht="18.75" hidden="1">
      <c r="A294" s="1893" t="s">
        <v>272</v>
      </c>
      <c r="B294" s="1893" t="s">
        <v>273</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434</v>
      </c>
      <c r="M294" s="454"/>
      <c r="N294" s="447"/>
      <c r="O294" s="1737"/>
      <c r="P294" s="1737"/>
      <c r="AH294" s="1744">
        <v>0</v>
      </c>
    </row>
    <row s="8273" customFormat="1" customHeight="1" ht="18.75" hidden="1">
      <c r="A295" s="1893"/>
      <c r="B295" s="1893"/>
      <c r="C295" s="482" t="s">
        <v>1274</v>
      </c>
      <c r="D295" s="2575"/>
      <c r="E295" s="2317"/>
      <c r="F295" s="2496"/>
      <c r="G295" s="2540"/>
      <c r="H295" s="1613"/>
      <c r="I295" s="764" t="s">
        <v>1273</v>
      </c>
      <c r="J295" s="684"/>
      <c r="K295" s="1613"/>
      <c r="L295" s="327"/>
      <c r="M295" s="454"/>
      <c r="N295" s="447"/>
      <c r="O295" s="1737"/>
      <c r="P295" s="1737"/>
      <c r="AH295" s="1744">
        <v>0</v>
      </c>
    </row>
    <row s="8273" customFormat="1" customHeight="1" ht="0.75" hidden="1">
      <c r="A296" s="1893"/>
      <c r="B296" s="1893"/>
      <c r="C296" s="482" t="s">
        <v>1283</v>
      </c>
      <c r="D296" s="2575"/>
      <c r="E296" s="2317"/>
      <c r="F296" s="2496"/>
      <c r="G296" s="513"/>
      <c r="H296" s="1613"/>
      <c r="I296" s="764"/>
      <c r="J296" s="684"/>
      <c r="K296" s="1613"/>
      <c r="L296" s="327"/>
      <c r="M296" s="454"/>
      <c r="N296" s="447"/>
      <c r="O296" s="1737"/>
      <c r="P296" s="1737"/>
      <c r="AH296" s="1744">
        <v>0</v>
      </c>
    </row>
    <row s="8273" customFormat="1" customHeight="1" ht="18.75">
      <c r="A297" s="1893" t="s">
        <v>294</v>
      </c>
      <c r="B297" s="1893" t="s">
        <v>295</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Питьевая вода</v>
      </c>
      <c r="H297" s="1975"/>
      <c r="I297" s="7504">
        <v>45658</v>
      </c>
      <c r="J297" s="7505">
        <v>46022</v>
      </c>
      <c r="K297" s="1891">
        <v>13795.75</v>
      </c>
      <c r="L297" s="1975" t="s">
        <v>434</v>
      </c>
      <c r="M297" s="454"/>
      <c r="N297" s="447"/>
      <c r="O297" s="1737"/>
      <c r="P297" s="1737"/>
      <c r="AH297" s="1744">
        <v>0</v>
      </c>
    </row>
    <row s="8273" customFormat="1" customHeight="1" ht="18.75">
      <c r="A298" s="1893"/>
      <c r="B298" s="1893"/>
      <c r="C298" s="482" t="s">
        <v>1274</v>
      </c>
      <c r="D298" s="2575"/>
      <c r="E298" s="2317"/>
      <c r="F298" s="2496"/>
      <c r="G298" s="2540"/>
      <c r="H298" s="1613"/>
      <c r="I298" s="764" t="s">
        <v>1273</v>
      </c>
      <c r="J298" s="684"/>
      <c r="K298" s="1613"/>
      <c r="L298" s="327"/>
      <c r="M298" s="454"/>
      <c r="N298" s="447"/>
      <c r="O298" s="1737"/>
      <c r="P298" s="1737"/>
      <c r="AH298" s="1744">
        <v>0</v>
      </c>
    </row>
    <row s="8273" customFormat="1" customHeight="1" ht="0.75">
      <c r="A299" s="1893"/>
      <c r="B299" s="1893"/>
      <c r="C299" s="482" t="s">
        <v>1283</v>
      </c>
      <c r="D299" s="2575"/>
      <c r="E299" s="2317"/>
      <c r="F299" s="2496"/>
      <c r="G299" s="513"/>
      <c r="H299" s="1613"/>
      <c r="I299" s="764"/>
      <c r="J299" s="684"/>
      <c r="K299" s="1613"/>
      <c r="L299" s="327"/>
      <c r="M299" s="454"/>
      <c r="N299" s="447"/>
      <c r="O299" s="1737"/>
      <c r="P299" s="1737"/>
      <c r="AH299" s="1744">
        <v>0</v>
      </c>
    </row>
    <row s="8273" customFormat="1" customHeight="1" ht="18.75" hidden="1">
      <c r="A300" s="1893" t="s">
        <v>358</v>
      </c>
      <c r="B300" s="1893" t="s">
        <v>359</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434</v>
      </c>
      <c r="M300" s="454"/>
      <c r="N300" s="447"/>
      <c r="O300" s="1737"/>
      <c r="P300" s="1737"/>
      <c r="AH300" s="1744">
        <v>0</v>
      </c>
    </row>
    <row s="8273" customFormat="1" customHeight="1" ht="18.75" hidden="1">
      <c r="A301" s="1893"/>
      <c r="B301" s="1893"/>
      <c r="C301" s="482" t="s">
        <v>1274</v>
      </c>
      <c r="D301" s="2575"/>
      <c r="E301" s="2317"/>
      <c r="F301" s="2496"/>
      <c r="G301" s="2540"/>
      <c r="H301" s="1613"/>
      <c r="I301" s="764" t="s">
        <v>1273</v>
      </c>
      <c r="J301" s="684"/>
      <c r="K301" s="1613"/>
      <c r="L301" s="327"/>
      <c r="M301" s="454"/>
      <c r="N301" s="447"/>
      <c r="O301" s="1737"/>
      <c r="P301" s="1737"/>
      <c r="AH301" s="1744">
        <v>0</v>
      </c>
    </row>
    <row s="8273" customFormat="1" customHeight="1" ht="0.75" hidden="1">
      <c r="A302" s="1893"/>
      <c r="B302" s="1893"/>
      <c r="C302" s="482" t="s">
        <v>1283</v>
      </c>
      <c r="D302" s="2575"/>
      <c r="E302" s="2317"/>
      <c r="F302" s="2496"/>
      <c r="G302" s="513"/>
      <c r="H302" s="1613"/>
      <c r="I302" s="764"/>
      <c r="J302" s="684"/>
      <c r="K302" s="1613"/>
      <c r="L302" s="327"/>
      <c r="M302" s="454"/>
      <c r="N302" s="447"/>
      <c r="O302" s="1737"/>
      <c r="P302" s="1737"/>
      <c r="AH302" s="1744">
        <v>0</v>
      </c>
    </row>
    <row s="8273" customFormat="1" customHeight="1" ht="18.75" hidden="1">
      <c r="A303" s="1893" t="s">
        <v>363</v>
      </c>
      <c r="B303" s="1893" t="s">
        <v>364</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434</v>
      </c>
      <c r="M303" s="454"/>
      <c r="N303" s="447"/>
      <c r="O303" s="1737"/>
      <c r="P303" s="1737"/>
      <c r="AH303" s="1744">
        <v>0</v>
      </c>
    </row>
    <row s="8273" customFormat="1" customHeight="1" ht="18.75" hidden="1">
      <c r="A304" s="1893"/>
      <c r="B304" s="1893"/>
      <c r="C304" s="482" t="s">
        <v>1274</v>
      </c>
      <c r="D304" s="2575"/>
      <c r="E304" s="2317"/>
      <c r="F304" s="2496"/>
      <c r="G304" s="2540"/>
      <c r="H304" s="1613"/>
      <c r="I304" s="764" t="s">
        <v>1273</v>
      </c>
      <c r="J304" s="684"/>
      <c r="K304" s="1613"/>
      <c r="L304" s="327"/>
      <c r="M304" s="454"/>
      <c r="N304" s="447"/>
      <c r="O304" s="1737"/>
      <c r="P304" s="1737"/>
      <c r="AH304" s="1744">
        <v>0</v>
      </c>
    </row>
    <row s="8273" customFormat="1" customHeight="1" ht="0.75" hidden="1">
      <c r="A305" s="1893"/>
      <c r="B305" s="1893"/>
      <c r="C305" s="482" t="s">
        <v>1283</v>
      </c>
      <c r="D305" s="2575"/>
      <c r="E305" s="2317"/>
      <c r="F305" s="2496"/>
      <c r="G305" s="513"/>
      <c r="H305" s="1613"/>
      <c r="I305" s="764"/>
      <c r="J305" s="684"/>
      <c r="K305" s="1613"/>
      <c r="L305" s="327"/>
      <c r="M305" s="454"/>
      <c r="N305" s="447"/>
      <c r="O305" s="1737"/>
      <c r="P305" s="1737"/>
      <c r="AH305" s="1744">
        <v>0</v>
      </c>
    </row>
    <row s="8273" customFormat="1" customHeight="1" ht="18.75" hidden="1">
      <c r="A306" s="1893" t="s">
        <v>368</v>
      </c>
      <c r="B306" s="1893" t="s">
        <v>369</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434</v>
      </c>
      <c r="M306" s="454"/>
      <c r="N306" s="447"/>
      <c r="O306" s="1737"/>
      <c r="P306" s="1737"/>
      <c r="AH306" s="1744">
        <v>0</v>
      </c>
    </row>
    <row s="8273" customFormat="1" customHeight="1" ht="18.75" hidden="1">
      <c r="A307" s="1893"/>
      <c r="B307" s="1893"/>
      <c r="C307" s="482" t="s">
        <v>1274</v>
      </c>
      <c r="D307" s="2575"/>
      <c r="E307" s="2317"/>
      <c r="F307" s="2496"/>
      <c r="G307" s="2540"/>
      <c r="H307" s="1613"/>
      <c r="I307" s="764" t="s">
        <v>1273</v>
      </c>
      <c r="J307" s="684"/>
      <c r="K307" s="1613"/>
      <c r="L307" s="327"/>
      <c r="M307" s="454"/>
      <c r="N307" s="447"/>
      <c r="O307" s="1737"/>
      <c r="P307" s="1737"/>
      <c r="AH307" s="1744">
        <v>0</v>
      </c>
    </row>
    <row s="8273" customFormat="1" customHeight="1" ht="0.75" hidden="1">
      <c r="A308" s="1893"/>
      <c r="B308" s="1893"/>
      <c r="C308" s="482" t="s">
        <v>1283</v>
      </c>
      <c r="D308" s="2575"/>
      <c r="E308" s="2317"/>
      <c r="F308" s="2496"/>
      <c r="G308" s="513"/>
      <c r="H308" s="1613"/>
      <c r="I308" s="764"/>
      <c r="J308" s="684"/>
      <c r="K308" s="1613"/>
      <c r="L308" s="327"/>
      <c r="M308" s="454"/>
      <c r="N308" s="447"/>
      <c r="O308" s="1737"/>
      <c r="P308" s="1737"/>
      <c r="AH308" s="1744">
        <v>0</v>
      </c>
    </row>
    <row s="8273" customFormat="1" customHeight="1" ht="18.75" hidden="1">
      <c r="A309" s="1893" t="s">
        <v>373</v>
      </c>
      <c r="B309" s="1893" t="s">
        <v>374</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434</v>
      </c>
      <c r="M309" s="454"/>
      <c r="N309" s="447"/>
      <c r="O309" s="1737"/>
      <c r="P309" s="1737"/>
      <c r="AH309" s="1744">
        <v>0</v>
      </c>
    </row>
    <row s="8273" customFormat="1" customHeight="1" ht="18.75" hidden="1">
      <c r="A310" s="1893"/>
      <c r="B310" s="1893"/>
      <c r="C310" s="482" t="s">
        <v>1274</v>
      </c>
      <c r="D310" s="2575"/>
      <c r="E310" s="2317"/>
      <c r="F310" s="2496"/>
      <c r="G310" s="2540"/>
      <c r="H310" s="1613"/>
      <c r="I310" s="764" t="s">
        <v>1273</v>
      </c>
      <c r="J310" s="684"/>
      <c r="K310" s="1613"/>
      <c r="L310" s="327"/>
      <c r="M310" s="454"/>
      <c r="N310" s="447"/>
      <c r="O310" s="1737"/>
      <c r="P310" s="1737"/>
      <c r="AH310" s="1744">
        <v>0</v>
      </c>
    </row>
    <row s="8273" customFormat="1" customHeight="1" ht="0.75" hidden="1">
      <c r="A311" s="1893"/>
      <c r="B311" s="1893"/>
      <c r="C311" s="482" t="s">
        <v>1283</v>
      </c>
      <c r="D311" s="2575"/>
      <c r="E311" s="2317"/>
      <c r="F311" s="2496"/>
      <c r="G311" s="513"/>
      <c r="H311" s="1613"/>
      <c r="I311" s="764"/>
      <c r="J311" s="684"/>
      <c r="K311" s="1613"/>
      <c r="L311" s="327"/>
      <c r="M311" s="454"/>
      <c r="N311" s="447"/>
      <c r="O311" s="1737"/>
      <c r="P311" s="1737"/>
      <c r="AH311" s="1744">
        <v>0</v>
      </c>
    </row>
    <row s="8273" customFormat="1" customHeight="1" ht="18.75" hidden="1">
      <c r="A312" s="1893" t="s">
        <v>378</v>
      </c>
      <c r="B312" s="1893" t="s">
        <v>379</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434</v>
      </c>
      <c r="M312" s="454"/>
      <c r="N312" s="447"/>
      <c r="O312" s="1737"/>
      <c r="P312" s="1737"/>
      <c r="AH312" s="1744">
        <v>0</v>
      </c>
    </row>
    <row s="8273" customFormat="1" customHeight="1" ht="18.75" hidden="1">
      <c r="A313" s="1893"/>
      <c r="B313" s="1893"/>
      <c r="C313" s="482" t="s">
        <v>1274</v>
      </c>
      <c r="D313" s="2575"/>
      <c r="E313" s="2317"/>
      <c r="F313" s="2496"/>
      <c r="G313" s="2540"/>
      <c r="H313" s="1613"/>
      <c r="I313" s="764" t="s">
        <v>1273</v>
      </c>
      <c r="J313" s="684"/>
      <c r="K313" s="1613"/>
      <c r="L313" s="327"/>
      <c r="M313" s="454"/>
      <c r="N313" s="447"/>
      <c r="O313" s="1737"/>
      <c r="P313" s="1737"/>
      <c r="AH313" s="1744">
        <v>0</v>
      </c>
    </row>
    <row s="8273" customFormat="1" customHeight="1" ht="0.75" hidden="1">
      <c r="A314" s="1893"/>
      <c r="B314" s="1893"/>
      <c r="C314" s="482" t="s">
        <v>1283</v>
      </c>
      <c r="D314" s="2575"/>
      <c r="E314" s="2317"/>
      <c r="F314" s="2496"/>
      <c r="G314" s="513"/>
      <c r="H314" s="1613"/>
      <c r="I314" s="764"/>
      <c r="J314" s="684"/>
      <c r="K314" s="1613"/>
      <c r="L314" s="327"/>
      <c r="M314" s="454"/>
      <c r="N314" s="447"/>
      <c r="O314" s="1737"/>
      <c r="P314" s="1737"/>
      <c r="AH314" s="1744">
        <v>0</v>
      </c>
    </row>
    <row s="8273" customFormat="1" customHeight="1" ht="18.75" hidden="1">
      <c r="A315" s="1893" t="s">
        <v>383</v>
      </c>
      <c r="B315" s="1893" t="s">
        <v>384</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434</v>
      </c>
      <c r="M315" s="454"/>
      <c r="N315" s="447"/>
      <c r="O315" s="1737"/>
      <c r="P315" s="1737"/>
      <c r="AH315" s="1744">
        <v>0</v>
      </c>
    </row>
    <row s="8273" customFormat="1" customHeight="1" ht="18.75" hidden="1">
      <c r="A316" s="1893"/>
      <c r="B316" s="1893"/>
      <c r="C316" s="482" t="s">
        <v>1274</v>
      </c>
      <c r="D316" s="2575"/>
      <c r="E316" s="2317"/>
      <c r="F316" s="2496"/>
      <c r="G316" s="2540"/>
      <c r="H316" s="1613"/>
      <c r="I316" s="764" t="s">
        <v>1273</v>
      </c>
      <c r="J316" s="684"/>
      <c r="K316" s="1613"/>
      <c r="L316" s="327"/>
      <c r="M316" s="454"/>
      <c r="N316" s="447"/>
      <c r="O316" s="1737"/>
      <c r="P316" s="1737"/>
      <c r="AH316" s="1744">
        <v>0</v>
      </c>
    </row>
    <row s="8273" customFormat="1" customHeight="1" ht="0.75" hidden="1">
      <c r="A317" s="1893"/>
      <c r="B317" s="1893"/>
      <c r="C317" s="482" t="s">
        <v>1283</v>
      </c>
      <c r="D317" s="2575"/>
      <c r="E317" s="2317"/>
      <c r="F317" s="2496"/>
      <c r="G317" s="513"/>
      <c r="H317" s="1613"/>
      <c r="I317" s="764"/>
      <c r="J317" s="684"/>
      <c r="K317" s="1613"/>
      <c r="L317" s="327"/>
      <c r="M317" s="454"/>
      <c r="N317" s="447"/>
      <c r="O317" s="1737"/>
      <c r="P317" s="1737"/>
      <c r="AH317" s="1744">
        <v>0</v>
      </c>
    </row>
    <row s="8273" customFormat="1" customHeight="1" ht="18.75" hidden="1">
      <c r="A318" s="1893" t="s">
        <v>388</v>
      </c>
      <c r="B318" s="1893" t="s">
        <v>389</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434</v>
      </c>
      <c r="M318" s="454"/>
      <c r="N318" s="447"/>
      <c r="O318" s="1737"/>
      <c r="P318" s="1737"/>
      <c r="AH318" s="1744">
        <v>0</v>
      </c>
    </row>
    <row s="8273" customFormat="1" customHeight="1" ht="18.75" hidden="1">
      <c r="A319" s="1893"/>
      <c r="B319" s="1893"/>
      <c r="C319" s="482" t="s">
        <v>1274</v>
      </c>
      <c r="D319" s="2575"/>
      <c r="E319" s="2317"/>
      <c r="F319" s="2496"/>
      <c r="G319" s="2540"/>
      <c r="H319" s="1613"/>
      <c r="I319" s="764" t="s">
        <v>1273</v>
      </c>
      <c r="J319" s="684"/>
      <c r="K319" s="1613"/>
      <c r="L319" s="327"/>
      <c r="M319" s="454"/>
      <c r="N319" s="447"/>
      <c r="O319" s="1737"/>
      <c r="P319" s="1737"/>
      <c r="AH319" s="1744">
        <v>0</v>
      </c>
    </row>
    <row s="8273" customFormat="1" customHeight="1" ht="0.75" hidden="1">
      <c r="A320" s="1893"/>
      <c r="B320" s="1893"/>
      <c r="C320" s="482" t="s">
        <v>1283</v>
      </c>
      <c r="D320" s="2575"/>
      <c r="E320" s="2317"/>
      <c r="F320" s="2496"/>
      <c r="G320" s="513"/>
      <c r="H320" s="1613"/>
      <c r="I320" s="764"/>
      <c r="J320" s="684"/>
      <c r="K320" s="1613"/>
      <c r="L320" s="327"/>
      <c r="M320" s="454"/>
      <c r="N320" s="447"/>
      <c r="O320" s="1737"/>
      <c r="P320" s="1737"/>
      <c r="AH320" s="1744">
        <v>0</v>
      </c>
    </row>
    <row s="8273" customFormat="1" customHeight="1" ht="18.75" hidden="1">
      <c r="A321" s="1893" t="s">
        <v>393</v>
      </c>
      <c r="B321" s="1893" t="s">
        <v>394</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434</v>
      </c>
      <c r="M321" s="454"/>
      <c r="N321" s="447"/>
      <c r="O321" s="1737"/>
      <c r="P321" s="1737"/>
      <c r="AH321" s="1744">
        <v>0</v>
      </c>
    </row>
    <row s="8273" customFormat="1" customHeight="1" ht="18.75" hidden="1">
      <c r="A322" s="1893"/>
      <c r="B322" s="1893"/>
      <c r="C322" s="482" t="s">
        <v>1274</v>
      </c>
      <c r="D322" s="2575"/>
      <c r="E322" s="2317"/>
      <c r="F322" s="2496"/>
      <c r="G322" s="2540"/>
      <c r="H322" s="1613"/>
      <c r="I322" s="764" t="s">
        <v>1273</v>
      </c>
      <c r="J322" s="684"/>
      <c r="K322" s="1613"/>
      <c r="L322" s="327"/>
      <c r="M322" s="454"/>
      <c r="N322" s="447"/>
      <c r="O322" s="1737"/>
      <c r="P322" s="1737"/>
      <c r="AH322" s="1744">
        <v>0</v>
      </c>
    </row>
    <row s="8273" customFormat="1" customHeight="1" ht="0.75" hidden="1">
      <c r="A323" s="1893"/>
      <c r="B323" s="1893"/>
      <c r="C323" s="482" t="s">
        <v>1283</v>
      </c>
      <c r="D323" s="2575"/>
      <c r="E323" s="2317"/>
      <c r="F323" s="2496"/>
      <c r="G323" s="513"/>
      <c r="H323" s="1613"/>
      <c r="I323" s="764"/>
      <c r="J323" s="684"/>
      <c r="K323" s="1613"/>
      <c r="L323" s="327"/>
      <c r="M323" s="454"/>
      <c r="N323" s="447"/>
      <c r="O323" s="1737"/>
      <c r="P323" s="1737"/>
      <c r="AH323" s="1744">
        <v>0</v>
      </c>
    </row>
    <row s="8273" customFormat="1" customHeight="1" ht="18.75" hidden="1">
      <c r="A324" s="1893" t="s">
        <v>398</v>
      </c>
      <c r="B324" s="1893" t="s">
        <v>399</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434</v>
      </c>
      <c r="M324" s="454"/>
      <c r="N324" s="447"/>
      <c r="O324" s="1737"/>
      <c r="P324" s="1737"/>
      <c r="AH324" s="1744">
        <v>0</v>
      </c>
    </row>
    <row s="8273" customFormat="1" customHeight="1" ht="18.75" hidden="1">
      <c r="A325" s="1893"/>
      <c r="B325" s="1893"/>
      <c r="C325" s="482" t="s">
        <v>1274</v>
      </c>
      <c r="D325" s="2575"/>
      <c r="E325" s="2317"/>
      <c r="F325" s="2496"/>
      <c r="G325" s="2540"/>
      <c r="H325" s="1613"/>
      <c r="I325" s="764" t="s">
        <v>1273</v>
      </c>
      <c r="J325" s="684"/>
      <c r="K325" s="1613"/>
      <c r="L325" s="327"/>
      <c r="M325" s="454"/>
      <c r="N325" s="447"/>
      <c r="O325" s="1737"/>
      <c r="P325" s="1737"/>
      <c r="AH325" s="1744">
        <v>0</v>
      </c>
    </row>
    <row s="8273" customFormat="1" customHeight="1" ht="0.75" hidden="1">
      <c r="A326" s="1893"/>
      <c r="B326" s="1893"/>
      <c r="C326" s="482" t="s">
        <v>1283</v>
      </c>
      <c r="D326" s="2575"/>
      <c r="E326" s="2317"/>
      <c r="F326" s="2496"/>
      <c r="G326" s="513"/>
      <c r="H326" s="1613"/>
      <c r="I326" s="764"/>
      <c r="J326" s="684"/>
      <c r="K326" s="1613"/>
      <c r="L326" s="327"/>
      <c r="M326" s="454"/>
      <c r="N326" s="447"/>
      <c r="O326" s="1737"/>
      <c r="P326" s="1737"/>
      <c r="AH326" s="1744">
        <v>0</v>
      </c>
    </row>
    <row s="8273" customFormat="1" customHeight="1" ht="18.75" hidden="1">
      <c r="A327" s="1893" t="s">
        <v>403</v>
      </c>
      <c r="B327" s="1893" t="s">
        <v>404</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434</v>
      </c>
      <c r="M327" s="454"/>
      <c r="N327" s="447"/>
      <c r="O327" s="1737"/>
      <c r="P327" s="1737"/>
      <c r="AH327" s="1744">
        <v>0</v>
      </c>
    </row>
    <row s="8273" customFormat="1" customHeight="1" ht="18.75" hidden="1">
      <c r="A328" s="1893"/>
      <c r="B328" s="1893"/>
      <c r="C328" s="482" t="s">
        <v>1274</v>
      </c>
      <c r="D328" s="2575"/>
      <c r="E328" s="2317"/>
      <c r="F328" s="2496"/>
      <c r="G328" s="2540"/>
      <c r="H328" s="1613"/>
      <c r="I328" s="764" t="s">
        <v>1273</v>
      </c>
      <c r="J328" s="684"/>
      <c r="K328" s="1613"/>
      <c r="L328" s="327"/>
      <c r="M328" s="454"/>
      <c r="N328" s="447"/>
      <c r="O328" s="1737"/>
      <c r="P328" s="1737"/>
      <c r="AH328" s="1744">
        <v>0</v>
      </c>
    </row>
    <row s="8273" customFormat="1" customHeight="1" ht="1.05">
      <c r="A329" s="1893"/>
      <c r="B329" s="1893"/>
      <c r="C329" s="482" t="s">
        <v>1283</v>
      </c>
      <c r="D329" s="2575"/>
      <c r="E329" s="2317"/>
      <c r="F329" s="2496"/>
      <c r="G329" s="513"/>
      <c r="H329" s="1613"/>
      <c r="I329" s="764"/>
      <c r="J329" s="684"/>
      <c r="K329" s="1613"/>
      <c r="L329" s="327"/>
      <c r="M329" s="454"/>
      <c r="N329" s="447"/>
      <c r="O329" s="1737"/>
      <c r="P329" s="1737"/>
      <c r="AH329" s="1744">
        <v>1</v>
      </c>
    </row>
    <row s="12963"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82</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091D7-AD89-3C57-77AF-83163035B7FB}" mc:Ignorable="x14ac xr xr2 xr3">
  <sheetPr>
    <tabColor theme="6" tint="0.4"/>
  </sheetPr>
  <dimension ref="A1:R17"/>
  <sheetViews>
    <sheetView topLeftCell="A1" showGridLines="0" zoomScale="90" workbookViewId="0">
      <selection activeCell="G13" sqref="G13"/>
    </sheetView>
  </sheetViews>
  <sheetFormatPr defaultColWidth="10.57421875" customHeight="1" defaultRowHeight="14.25"/>
  <cols>
    <col min="1" max="1" style="9206" width="9.140625" hidden="1" customWidth="1"/>
    <col min="2" max="2" style="8354" width="9.140625" hidden="1" customWidth="1"/>
    <col min="3" max="3" style="9207" width="3.00390625" customWidth="1"/>
    <col min="4" max="4" style="8273" width="6.00390625" customWidth="1"/>
    <col min="5" max="5" style="8273" width="53.00390625" customWidth="1"/>
    <col min="6" max="7" style="8273" width="35.00390625" customWidth="1"/>
    <col min="8" max="8" style="8273" width="89.00390625" customWidth="1"/>
    <col min="9" max="9" style="8273" width="10.00390625" customWidth="1"/>
    <col min="10" max="11" style="8454" width="10.00390625" customWidth="1"/>
    <col min="12" max="17" style="8273" width="10.00390625" customWidth="1"/>
    <col min="18" max="18" style="8273" width="10.57421875" hidden="1"/>
  </cols>
  <sheetData>
    <row customHeight="1" ht="22.5" hidden="1">
      <c r="N1" s="368"/>
      <c r="O1" s="368"/>
      <c r="Q1" s="368"/>
      <c r="R1" s="487" t="s">
        <v>14</v>
      </c>
    </row>
    <row s="8273" customFormat="1" customHeight="1" ht="18.75" hidden="1">
      <c r="A2" s="215"/>
      <c r="B2" s="1273"/>
      <c r="C2" s="1843" t="s">
        <v>105</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68"/>
      <c r="F5" s="2568"/>
      <c r="G5" s="2569"/>
      <c r="H5" s="379"/>
      <c r="R5" s="487">
        <v>33</v>
      </c>
    </row>
    <row s="8273" customFormat="1" customHeight="1" ht="18">
      <c r="A6" s="1782"/>
      <c r="B6" s="1273"/>
      <c r="C6" s="489"/>
      <c r="D6" s="2570" t="str">
        <f>IF(org=0,"Не определено",org)</f>
        <v>МУП ЖКХ "Родник"</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428</v>
      </c>
      <c r="E8" s="2322"/>
      <c r="F8" s="2322"/>
      <c r="G8" s="2322"/>
      <c r="H8" s="2502" t="s">
        <v>429</v>
      </c>
      <c r="R8" s="487">
        <v>14</v>
      </c>
    </row>
    <row customHeight="1" ht="24">
      <c r="C9" s="489"/>
      <c r="D9" s="499" t="s">
        <v>88</v>
      </c>
      <c r="E9" s="221" t="s">
        <v>430</v>
      </c>
      <c r="F9" s="221" t="s">
        <v>431</v>
      </c>
      <c r="G9" s="221" t="s">
        <v>518</v>
      </c>
      <c r="H9" s="2502"/>
      <c r="R9" s="487">
        <v>23</v>
      </c>
    </row>
    <row customHeight="1" ht="15">
      <c r="A10" s="456"/>
      <c r="C10" s="489"/>
      <c r="D10" s="260" t="s">
        <v>187</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7514" t="s">
        <v>1284</v>
      </c>
      <c r="G10" s="7515" t="s">
        <v>1285</v>
      </c>
      <c r="H10" s="2282" t="s">
        <v>1286</v>
      </c>
      <c r="R10" s="487">
        <v>14</v>
      </c>
    </row>
    <row customHeight="1" ht="15">
      <c r="A11" s="456"/>
      <c r="C11" s="489"/>
      <c r="D11" s="260" t="s">
        <v>104</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70" t="s">
        <v>1287</v>
      </c>
      <c r="G11" s="7515" t="s">
        <v>1288</v>
      </c>
      <c r="H11" s="2283"/>
      <c r="R11" s="487">
        <v>14</v>
      </c>
    </row>
    <row customHeight="1" ht="15">
      <c r="A12" s="215"/>
      <c r="C12" s="500"/>
      <c r="D12" s="260" t="s">
        <v>90</v>
      </c>
      <c r="E12" s="501" t="str">
        <f>"Сведения о планировании закупочных процедур"&amp;IF(TEMPLATE_SPHERE="TKO"," &lt;1&gt;","")</f>
        <v>Сведения о планировании закупочных процедур</v>
      </c>
      <c r="F12" s="370" t="s">
        <v>1289</v>
      </c>
      <c r="G12" s="7515" t="s">
        <v>1290</v>
      </c>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63"/>
      <c r="K12" s="487"/>
      <c r="R12" s="487">
        <v>14</v>
      </c>
    </row>
    <row customHeight="1" ht="15">
      <c r="A13" s="215"/>
      <c r="C13" s="500"/>
      <c r="D13" s="260" t="s">
        <v>91</v>
      </c>
      <c r="E13" s="501" t="str">
        <f>"Сведения о результатах проведения закупочных процедур"&amp;IF(TEMPLATE_SPHERE="TKO"," &lt;1&gt;","")</f>
        <v>Сведения о результатах проведения закупочных процедур</v>
      </c>
      <c r="F13" s="370" t="s">
        <v>1291</v>
      </c>
      <c r="G13" s="7515" t="s">
        <v>1292</v>
      </c>
      <c r="H13" s="2283"/>
      <c r="I13" s="463"/>
      <c r="K13" s="487"/>
      <c r="R13" s="487">
        <v>14</v>
      </c>
    </row>
    <row customHeight="1" ht="14.699999999999998">
      <c r="A14" s="456"/>
      <c r="C14" s="489"/>
      <c r="D14" s="460"/>
      <c r="E14" s="508" t="s">
        <v>450</v>
      </c>
      <c r="F14" s="462"/>
      <c r="G14" s="314"/>
      <c r="H14" s="2284"/>
      <c r="R14" s="487">
        <v>14</v>
      </c>
    </row>
    <row s="8273"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82</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9B57BA-1C7E-19BA-A33F-47A5ED3674AF}"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8237" width="9.140625" hidden="1" customWidth="1"/>
    <col min="2" max="2" style="8273" width="9.140625" hidden="1" customWidth="1"/>
    <col min="3" max="3" style="12705" width="4.00390625" customWidth="1"/>
    <col min="4" max="4" style="8273" width="6.00390625" customWidth="1"/>
    <col min="5" max="5" style="8273" width="47.00390625" customWidth="1"/>
    <col min="6" max="6" style="8273" width="9.00390625" customWidth="1"/>
    <col min="7" max="7" style="8273" width="25.7109375" hidden="1" customWidth="1"/>
    <col min="8" max="8" style="8273" width="34.00390625" hidden="1" customWidth="1"/>
    <col min="9" max="9" style="8273" width="25.7109375" customWidth="1"/>
    <col min="10" max="10" style="8273" width="33.00390625" customWidth="1"/>
    <col min="11" max="11" style="8354" width="50.00390625" customWidth="1"/>
    <col min="12" max="20" style="8273" width="10.00390625" customWidth="1"/>
    <col min="21" max="21" style="12706" width="10.00390625" customWidth="1"/>
    <col min="22" max="22" style="8273" width="10.57421875" hidden="1"/>
  </cols>
  <sheetData>
    <row s="8354" customFormat="1" customHeight="1" ht="22.5" hidden="1">
      <c r="C1" s="785"/>
      <c r="G1" s="530">
        <v>4</v>
      </c>
      <c r="I1" s="530">
        <v>4</v>
      </c>
      <c r="U1" s="533"/>
      <c r="V1" s="530" t="s">
        <v>14</v>
      </c>
    </row>
    <row s="8273" customFormat="1" customHeight="1" ht="15" hidden="1">
      <c r="A2" s="475"/>
      <c r="C2" s="289"/>
      <c r="D2" s="459"/>
      <c r="E2" s="786"/>
      <c r="F2" s="635"/>
      <c r="G2" s="729"/>
      <c r="H2" s="729"/>
      <c r="I2" s="729"/>
      <c r="J2" s="729"/>
      <c r="U2" s="787"/>
      <c r="V2" s="622">
        <v>0</v>
      </c>
    </row>
    <row s="8354" customFormat="1" customHeight="1" ht="15" hidden="1">
      <c r="C3" s="785"/>
      <c r="U3" s="533"/>
      <c r="V3" s="530">
        <v>0</v>
      </c>
    </row>
    <row customHeight="1" ht="15.75">
      <c r="C4" s="289"/>
      <c r="D4" s="622"/>
      <c r="E4" s="622"/>
      <c r="F4" s="622"/>
      <c r="G4" s="622"/>
      <c r="H4" s="622"/>
      <c r="I4" s="622"/>
      <c r="J4" s="622"/>
      <c r="V4" s="618">
        <v>15</v>
      </c>
    </row>
    <row customHeight="1" ht="66">
      <c r="C5" s="289"/>
      <c r="D5" s="2350" t="s">
        <v>1293</v>
      </c>
      <c r="E5" s="2350"/>
      <c r="F5" s="2350"/>
      <c r="G5" s="2350"/>
      <c r="H5" s="2350"/>
      <c r="I5" s="2350"/>
      <c r="J5" s="2350"/>
      <c r="V5" s="618">
        <v>63</v>
      </c>
    </row>
    <row customHeight="1" ht="15.75">
      <c r="C6" s="289"/>
      <c r="D6" s="2289" t="str">
        <f>IF(org=0,"Не определено",org)</f>
        <v>МУП ЖКХ "Родник"</v>
      </c>
      <c r="E6" s="2289"/>
      <c r="F6" s="2289"/>
      <c r="G6" s="2289"/>
      <c r="H6" s="2289"/>
      <c r="I6" s="2289"/>
      <c r="J6" s="2289"/>
      <c r="K6" s="650"/>
      <c r="V6" s="618">
        <v>15</v>
      </c>
    </row>
    <row customHeight="1" ht="15.75">
      <c r="C7" s="289"/>
      <c r="D7" s="865"/>
      <c r="E7" s="622"/>
      <c r="F7" s="622"/>
      <c r="G7" s="650">
        <v>22</v>
      </c>
      <c r="I7" s="650">
        <v>1</v>
      </c>
      <c r="J7" s="865"/>
      <c r="V7" s="618">
        <v>15</v>
      </c>
    </row>
    <row s="8273" customFormat="1" customHeight="1" ht="1.05">
      <c r="A8" s="872"/>
      <c r="C8" s="289"/>
      <c r="D8" s="622"/>
      <c r="E8" s="622"/>
      <c r="F8" s="622"/>
      <c r="G8" s="650"/>
      <c r="H8" s="865"/>
      <c r="I8" s="650" t="s">
        <v>192</v>
      </c>
      <c r="J8" s="865"/>
      <c r="K8" s="530"/>
      <c r="U8" s="788"/>
      <c r="V8" s="871">
        <v>1</v>
      </c>
    </row>
    <row customHeight="1" ht="15.75">
      <c r="C9" s="289"/>
      <c r="D9" s="824"/>
      <c r="E9" s="2480" t="s">
        <v>183</v>
      </c>
      <c r="F9" s="2481"/>
      <c r="G9" s="2508" t="str">
        <f>IF(G8="","",INDEX(DIFFERENTIATION_UNMERGE_VD,MATCH(G8,DIFFERENTIATION_ID_DIFF,0)))</f>
        <v/>
      </c>
      <c r="H9" s="2509"/>
      <c r="I9" s="2508">
        <f>IF(I8="","",INDEX(DIFFERENTIATION_UNMERGE_VD,MATCH(I8,DIFFERENTIATION_ID_DIFF,0)))</f>
        <v>0</v>
      </c>
      <c r="J9" s="2509"/>
      <c r="K9" s="2288" t="s">
        <v>429</v>
      </c>
      <c r="V9" s="618">
        <v>15</v>
      </c>
    </row>
    <row s="8273" customFormat="1" customHeight="1" ht="15.75">
      <c r="A10" s="872"/>
      <c r="C10" s="289"/>
      <c r="D10" s="824"/>
      <c r="E10" s="2480" t="s">
        <v>693</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8273" customFormat="1" customHeight="1" ht="15.75">
      <c r="A11" s="872"/>
      <c r="C11" s="289"/>
      <c r="D11" s="824"/>
      <c r="E11" s="2480" t="s">
        <v>694</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8273" customFormat="1" customHeight="1" ht="15.75">
      <c r="A12" s="872"/>
      <c r="C12" s="289"/>
      <c r="D12" s="2482" t="s">
        <v>428</v>
      </c>
      <c r="E12" s="2483"/>
      <c r="F12" s="2483"/>
      <c r="G12" s="1000"/>
      <c r="H12" s="1000"/>
      <c r="I12" s="1000"/>
      <c r="J12" s="1000"/>
      <c r="K12" s="2312"/>
      <c r="U12" s="788"/>
      <c r="V12" s="871">
        <v>15</v>
      </c>
    </row>
    <row customHeight="1" ht="35.699999999999996">
      <c r="C13" s="289"/>
      <c r="D13" s="918" t="s">
        <v>88</v>
      </c>
      <c r="E13" s="920" t="s">
        <v>430</v>
      </c>
      <c r="F13" s="920" t="s">
        <v>695</v>
      </c>
      <c r="G13" s="921" t="s">
        <v>431</v>
      </c>
      <c r="H13" s="920" t="s">
        <v>518</v>
      </c>
      <c r="I13" s="921" t="s">
        <v>431</v>
      </c>
      <c r="J13" s="920" t="s">
        <v>518</v>
      </c>
      <c r="K13" s="2345"/>
      <c r="V13" s="618">
        <v>34</v>
      </c>
    </row>
    <row customHeight="1" ht="15" hidden="1">
      <c r="C14" s="289"/>
      <c r="D14" s="706" t="s">
        <v>187</v>
      </c>
      <c r="E14" s="706" t="s">
        <v>104</v>
      </c>
      <c r="F14" s="706" t="s">
        <v>90</v>
      </c>
      <c r="G14" s="772" t="str">
        <f>G1&amp;".1"</f>
        <v>4.1</v>
      </c>
      <c r="H14" s="772"/>
      <c r="I14" s="772" t="str">
        <f>I1&amp;".1"</f>
        <v>4.1</v>
      </c>
      <c r="J14" s="772"/>
      <c r="K14" s="402"/>
      <c r="V14" s="618">
        <v>0</v>
      </c>
    </row>
    <row customHeight="1" ht="22.5" hidden="1">
      <c r="A15" s="618"/>
      <c r="C15" s="639"/>
      <c r="D15" s="634">
        <v>1</v>
      </c>
      <c r="E15" s="790" t="s">
        <v>937</v>
      </c>
      <c r="F15" s="634" t="s">
        <v>938</v>
      </c>
      <c r="G15" s="791"/>
      <c r="H15" s="791"/>
      <c r="I15" s="791"/>
      <c r="J15" s="791"/>
      <c r="K15" s="402" t="s">
        <v>939</v>
      </c>
      <c r="V15" s="618">
        <v>0</v>
      </c>
    </row>
    <row customHeight="1" ht="22.5" hidden="1">
      <c r="A16" s="618"/>
      <c r="C16" s="639"/>
      <c r="D16" s="634">
        <v>2</v>
      </c>
      <c r="E16" s="392" t="s">
        <v>940</v>
      </c>
      <c r="F16" s="634" t="s">
        <v>941</v>
      </c>
      <c r="G16" s="791"/>
      <c r="H16" s="791"/>
      <c r="I16" s="791"/>
      <c r="J16" s="791"/>
      <c r="K16" s="402" t="s">
        <v>942</v>
      </c>
      <c r="V16" s="618">
        <v>0</v>
      </c>
    </row>
    <row customHeight="1" ht="123.75" hidden="1">
      <c r="A17" s="618"/>
      <c r="C17" s="639"/>
      <c r="D17" s="634">
        <v>3</v>
      </c>
      <c r="E17" s="392" t="s">
        <v>1294</v>
      </c>
      <c r="F17" s="634" t="s">
        <v>434</v>
      </c>
      <c r="G17" s="791"/>
      <c r="H17" s="791"/>
      <c r="I17" s="791"/>
      <c r="J17" s="791"/>
      <c r="K17" s="402" t="s">
        <v>1295</v>
      </c>
      <c r="V17" s="618">
        <v>0</v>
      </c>
    </row>
    <row customHeight="1" ht="48.29999999999999">
      <c r="A18" s="618"/>
      <c r="C18" s="639"/>
      <c r="D18" s="634">
        <v>3</v>
      </c>
      <c r="E18" s="392" t="s">
        <v>943</v>
      </c>
      <c r="F18" s="634" t="s">
        <v>434</v>
      </c>
      <c r="G18" s="922" t="s">
        <v>434</v>
      </c>
      <c r="H18" s="923" t="s">
        <v>434</v>
      </c>
      <c r="I18" s="634" t="s">
        <v>434</v>
      </c>
      <c r="J18" s="691" t="s">
        <v>434</v>
      </c>
      <c r="K18" s="402" t="s">
        <v>1296</v>
      </c>
      <c r="V18" s="618">
        <v>46</v>
      </c>
    </row>
    <row customHeight="1" ht="35.699999999999996">
      <c r="A19" s="618"/>
      <c r="C19" s="639"/>
      <c r="D19" s="652" t="s">
        <v>452</v>
      </c>
      <c r="E19" s="672" t="s">
        <v>945</v>
      </c>
      <c r="F19" s="634" t="s">
        <v>946</v>
      </c>
      <c r="G19" s="930"/>
      <c r="H19" s="219"/>
      <c r="I19" s="930"/>
      <c r="J19" s="931"/>
      <c r="K19" s="792"/>
      <c r="V19" s="618">
        <v>34</v>
      </c>
    </row>
    <row customHeight="1" ht="35.699999999999996">
      <c r="A20" s="618"/>
      <c r="C20" s="639"/>
      <c r="D20" s="2003" t="s">
        <v>460</v>
      </c>
      <c r="E20" s="672" t="s">
        <v>947</v>
      </c>
      <c r="F20" s="634" t="s">
        <v>948</v>
      </c>
      <c r="G20" s="930"/>
      <c r="H20" s="219"/>
      <c r="I20" s="930"/>
      <c r="J20" s="219"/>
      <c r="K20" s="792"/>
      <c r="V20" s="618">
        <v>34</v>
      </c>
    </row>
    <row customHeight="1" ht="48.29999999999999">
      <c r="A21" s="618"/>
      <c r="C21" s="639"/>
      <c r="D21" s="2003" t="s">
        <v>462</v>
      </c>
      <c r="E21" s="672" t="s">
        <v>949</v>
      </c>
      <c r="F21" s="634" t="s">
        <v>700</v>
      </c>
      <c r="G21" s="793"/>
      <c r="H21" s="219"/>
      <c r="I21" s="793"/>
      <c r="J21" s="219"/>
      <c r="K21" s="792"/>
      <c r="V21" s="618">
        <v>46</v>
      </c>
    </row>
    <row customHeight="1" ht="67.5" hidden="1">
      <c r="A22" s="618"/>
      <c r="C22" s="639"/>
      <c r="D22" s="634">
        <v>5</v>
      </c>
      <c r="E22" s="392" t="s">
        <v>1297</v>
      </c>
      <c r="F22" s="634" t="s">
        <v>687</v>
      </c>
      <c r="G22" s="794"/>
      <c r="H22" s="795"/>
      <c r="I22" s="794"/>
      <c r="J22" s="795"/>
      <c r="K22" s="402" t="s">
        <v>1298</v>
      </c>
      <c r="V22" s="618">
        <v>0</v>
      </c>
    </row>
    <row customHeight="1" ht="33.75" hidden="1">
      <c r="C23" s="564"/>
      <c r="D23" s="634">
        <v>6</v>
      </c>
      <c r="E23" s="392" t="s">
        <v>1299</v>
      </c>
      <c r="F23" s="634" t="s">
        <v>1300</v>
      </c>
      <c r="G23" s="794"/>
      <c r="H23" s="794"/>
      <c r="I23" s="794"/>
      <c r="J23" s="794"/>
      <c r="K23" s="402" t="s">
        <v>1301</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82</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B957F51-34C9-790F-B7C9-C6CE162A7DF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3125" width="32.57421875" customWidth="1"/>
    <col min="2" max="2" style="8415" width="11.00390625" customWidth="1"/>
    <col min="3" max="3" style="8415" width="9.140625"/>
    <col min="4" max="4" style="8415" width="26.57421875" customWidth="1"/>
    <col min="5" max="5" style="12963" width="36.8515625" customWidth="1"/>
    <col min="6" max="6" style="12963" width="23.57421875" customWidth="1"/>
    <col min="7" max="7" style="12963" width="31.421875" customWidth="1"/>
    <col min="8" max="8" style="12963" width="40.8515625" customWidth="1"/>
    <col min="9" max="9" style="12963" width="14.57421875" customWidth="1"/>
    <col min="10" max="10" style="12963" width="26.8515625" customWidth="1"/>
    <col min="11" max="11" style="12963" width="50.00390625" customWidth="1"/>
    <col min="12" max="12" style="12963" width="52.421875" customWidth="1"/>
    <col min="13" max="13" style="12963" width="10.7109375" customWidth="1"/>
    <col min="14" max="14" style="12963" width="55.140625" customWidth="1"/>
    <col min="15" max="15" style="12963" width="31.8515625" customWidth="1"/>
    <col min="16" max="16" style="12963" width="23.8515625" customWidth="1"/>
    <col min="17" max="17" style="12963" width="46.57421875" customWidth="1"/>
    <col min="18" max="18" style="12963" width="24.00390625" customWidth="1"/>
    <col min="19" max="19" style="12963" width="20.57421875" customWidth="1"/>
    <col min="20" max="20" style="12963" width="22.00390625" customWidth="1"/>
    <col min="21" max="22" style="12963" width="26.421875" customWidth="1"/>
    <col min="23" max="23" style="12963" width="8.28125" hidden="1" customWidth="1"/>
    <col min="24" max="24" style="12963" width="59.7109375" customWidth="1"/>
    <col min="25" max="25" style="12963" width="49.140625" customWidth="1"/>
    <col min="26" max="26" style="12963" width="11.140625" customWidth="1"/>
    <col min="27" max="30" style="12963" width="29.00390625" customWidth="1"/>
    <col min="31" max="31" style="12963" width="9.140625"/>
    <col min="32" max="32" style="12963" width="34.7109375" customWidth="1"/>
    <col min="33" max="33" style="12963" width="9.140625"/>
    <col min="34" max="35" style="12963" width="34.421875" customWidth="1"/>
    <col min="36" max="36" style="12963" width="9.140625"/>
    <col min="37" max="37" style="12963" width="24.57421875" customWidth="1"/>
    <col min="38" max="38" style="12963" width="9.140625"/>
    <col min="39" max="39" style="12963" width="26.140625" customWidth="1"/>
    <col min="40" max="40" style="12963" width="1.7109375" customWidth="1"/>
    <col min="41" max="41" style="12963" width="9.140625"/>
    <col min="42" max="43" style="12963" width="47.8515625" customWidth="1"/>
    <col min="44" max="44" style="12963" width="1.7109375" customWidth="1"/>
    <col min="45" max="45" style="12963" width="21.421875" customWidth="1"/>
    <col min="46" max="46" style="12963" width="1.7109375" customWidth="1"/>
    <col min="47" max="47" style="12963" width="31.28125" customWidth="1"/>
    <col min="48" max="48" style="12963" width="1.7109375" customWidth="1"/>
    <col min="49" max="50" style="12963" width="9.140625"/>
    <col min="51" max="51" style="12963" width="3.7109375" customWidth="1"/>
    <col min="52" max="52" style="12963" width="60.8515625" customWidth="1"/>
    <col min="53" max="53" style="12963" width="49.28125" customWidth="1"/>
    <col min="54" max="54" style="12963" width="35.140625" customWidth="1"/>
    <col min="55" max="55" style="12963" width="9.140625"/>
    <col min="56" max="56" style="12963" width="1.7109375" customWidth="1"/>
    <col min="57" max="57" style="13126" width="12.57421875" customWidth="1"/>
    <col min="58" max="58" style="13126" width="14.28125" customWidth="1"/>
    <col min="59" max="59" style="12963" width="30.7109375" customWidth="1"/>
    <col min="60" max="60" style="13127" width="40.7109375" customWidth="1"/>
    <col min="61" max="61" style="13127" width="15.00390625" customWidth="1"/>
    <col min="62" max="62" style="13127" width="40.7109375" customWidth="1"/>
    <col min="63" max="63" style="13127" width="2.7109375" customWidth="1"/>
    <col min="64" max="64" style="13127" width="44.7109375" customWidth="1"/>
    <col min="65" max="65" style="13127" width="2.7109375" customWidth="1"/>
    <col min="66" max="66" style="13127" width="40.7109375" customWidth="1"/>
    <col min="67" max="68" style="12963" width="9.140625"/>
    <col min="69" max="69" style="12963" width="18.140625" customWidth="1"/>
    <col min="70" max="70" style="12963" width="57.8515625" customWidth="1"/>
    <col min="71" max="71" style="12963" width="1.7109375" customWidth="1"/>
    <col min="72" max="72" style="12963" width="22.57421875" customWidth="1"/>
    <col min="73" max="73" style="12963" width="57.8515625" customWidth="1"/>
    <col min="74" max="74" style="12963" width="1.7109375" customWidth="1"/>
    <col min="75" max="75" style="12963" width="22.57421875" customWidth="1"/>
    <col min="76" max="76" style="12963" width="57.8515625" customWidth="1"/>
    <col min="77" max="77" style="12963" width="1.7109375" customWidth="1"/>
    <col min="78" max="78" style="12963" width="22.57421875" customWidth="1"/>
    <col min="79" max="79" style="12963" width="57.8515625" customWidth="1"/>
    <col min="80" max="81" style="12963" width="9.140625"/>
    <col min="82" max="82" style="12963" width="49.57421875" customWidth="1"/>
  </cols>
  <sheetData>
    <row s="13028" customFormat="1" customHeight="1" ht="11.25">
      <c r="A1" s="1180" t="s">
        <v>1302</v>
      </c>
      <c r="B1" s="1180" t="s">
        <v>1303</v>
      </c>
      <c r="C1" s="1180" t="s">
        <v>1304</v>
      </c>
      <c r="D1" s="1180" t="s">
        <v>1305</v>
      </c>
      <c r="E1" s="1180" t="s">
        <v>1306</v>
      </c>
      <c r="F1" s="1180" t="s">
        <v>1307</v>
      </c>
      <c r="G1" s="1180" t="s">
        <v>1308</v>
      </c>
      <c r="H1" s="1180" t="s">
        <v>1309</v>
      </c>
      <c r="I1" s="1180" t="s">
        <v>1310</v>
      </c>
      <c r="J1" s="1180" t="s">
        <v>1311</v>
      </c>
      <c r="K1" s="1180" t="s">
        <v>1312</v>
      </c>
      <c r="L1" s="1180" t="s">
        <v>1313</v>
      </c>
      <c r="M1" s="1180"/>
      <c r="N1" s="1180" t="s">
        <v>1314</v>
      </c>
      <c r="O1" s="1180" t="s">
        <v>1315</v>
      </c>
      <c r="P1" s="1180" t="s">
        <v>1316</v>
      </c>
      <c r="Q1" s="1180" t="s">
        <v>1317</v>
      </c>
      <c r="R1" s="1180" t="s">
        <v>1318</v>
      </c>
      <c r="S1" s="1180" t="s">
        <v>1319</v>
      </c>
      <c r="T1" s="1180" t="s">
        <v>1320</v>
      </c>
      <c r="U1" s="1180" t="s">
        <v>1321</v>
      </c>
      <c r="V1" s="1180"/>
      <c r="W1" s="910" t="s">
        <v>1322</v>
      </c>
      <c r="X1" s="1180" t="s">
        <v>1323</v>
      </c>
      <c r="Y1" s="1180" t="s">
        <v>1324</v>
      </c>
      <c r="Z1" s="1180"/>
      <c r="AA1" s="1180" t="s">
        <v>1325</v>
      </c>
      <c r="AB1" s="1180"/>
      <c r="AC1" s="1180" t="s">
        <v>1326</v>
      </c>
      <c r="AD1" s="1180"/>
      <c r="AF1" s="1180" t="s">
        <v>1327</v>
      </c>
      <c r="AH1" s="1180" t="s">
        <v>1328</v>
      </c>
      <c r="AI1" s="1180" t="s">
        <v>1329</v>
      </c>
      <c r="AK1" s="1180" t="s">
        <v>1330</v>
      </c>
      <c r="AM1" s="1180" t="s">
        <v>1331</v>
      </c>
      <c r="AP1" s="1180" t="s">
        <v>1332</v>
      </c>
      <c r="AQ1" s="1180" t="s">
        <v>1333</v>
      </c>
      <c r="AS1" s="1180" t="s">
        <v>1334</v>
      </c>
      <c r="AU1" s="1180" t="s">
        <v>1335</v>
      </c>
      <c r="AW1" s="1180" t="s">
        <v>1336</v>
      </c>
      <c r="AX1" s="1180" t="s">
        <v>1337</v>
      </c>
      <c r="AZ1" s="1265" t="s">
        <v>1338</v>
      </c>
      <c r="BB1" s="1180" t="s">
        <v>1339</v>
      </c>
      <c r="BC1" s="1180"/>
      <c r="BE1" s="1180" t="s">
        <v>1340</v>
      </c>
      <c r="BF1" s="1180" t="s">
        <v>1341</v>
      </c>
      <c r="BH1" s="1182" t="s">
        <v>936</v>
      </c>
      <c r="BI1" s="1183"/>
      <c r="BJ1" s="1184" t="s">
        <v>1342</v>
      </c>
      <c r="BK1" s="1183"/>
      <c r="BL1" s="1185" t="s">
        <v>1035</v>
      </c>
      <c r="BM1" s="1183"/>
      <c r="BN1" s="1186" t="s">
        <v>1343</v>
      </c>
      <c r="BS1" s="1540"/>
    </row>
    <row customHeight="1" ht="11.25">
      <c r="A2" s="1187" t="s">
        <v>1344</v>
      </c>
      <c r="B2" s="1188">
        <v>2000</v>
      </c>
      <c r="C2" s="1188">
        <v>2022</v>
      </c>
      <c r="D2" s="1188" t="s">
        <v>66</v>
      </c>
      <c r="E2" s="1189" t="s">
        <v>1345</v>
      </c>
      <c r="F2" s="1189" t="s">
        <v>1346</v>
      </c>
      <c r="G2" s="1189" t="s">
        <v>1347</v>
      </c>
      <c r="H2" s="1190" t="s">
        <v>1348</v>
      </c>
      <c r="I2" s="1189" t="s">
        <v>187</v>
      </c>
      <c r="J2" s="1189" t="s">
        <v>1349</v>
      </c>
      <c r="K2" s="1191" t="s">
        <v>1350</v>
      </c>
      <c r="L2" s="1192"/>
      <c r="M2" s="1191">
        <v>1</v>
      </c>
      <c r="N2" s="1275" t="s">
        <v>1351</v>
      </c>
      <c r="O2" s="1190" t="s">
        <v>1352</v>
      </c>
      <c r="P2" s="1193" t="s">
        <v>1353</v>
      </c>
      <c r="Q2" s="1194" t="s">
        <v>1354</v>
      </c>
      <c r="R2" s="256" t="s">
        <v>1355</v>
      </c>
      <c r="S2" s="256" t="s">
        <v>1356</v>
      </c>
      <c r="T2" s="1195" t="s">
        <v>1357</v>
      </c>
      <c r="U2" s="1192" t="s">
        <v>1358</v>
      </c>
      <c r="V2" s="1196">
        <v>1</v>
      </c>
      <c r="W2" s="1197"/>
      <c r="X2" s="1197" t="s">
        <v>1359</v>
      </c>
      <c r="Y2" s="1188" t="s">
        <v>1360</v>
      </c>
      <c r="Z2" s="1198"/>
      <c r="AA2" s="1188" t="s">
        <v>1361</v>
      </c>
      <c r="AB2" s="1199" t="s">
        <v>1361</v>
      </c>
      <c r="AC2" s="1188" t="s">
        <v>1362</v>
      </c>
      <c r="AD2" s="1199" t="s">
        <v>1362</v>
      </c>
      <c r="AF2" s="1190" t="s">
        <v>1358</v>
      </c>
      <c r="AH2" s="1189" t="s">
        <v>1363</v>
      </c>
      <c r="AI2" s="1189" t="s">
        <v>1363</v>
      </c>
      <c r="AK2" s="1189" t="s">
        <v>1364</v>
      </c>
      <c r="AM2" s="1189" t="s">
        <v>1365</v>
      </c>
      <c r="AP2" s="1200" t="s">
        <v>1359</v>
      </c>
      <c r="AQ2" s="1201" t="s">
        <v>1359</v>
      </c>
      <c r="AS2" s="1188" t="s">
        <v>1366</v>
      </c>
      <c r="AU2" s="1233" t="s">
        <v>1367</v>
      </c>
      <c r="AW2" s="1233" t="s">
        <v>1368</v>
      </c>
      <c r="AX2" s="1233" t="s">
        <v>1368</v>
      </c>
      <c r="AZ2" s="1233" t="s">
        <v>1369</v>
      </c>
      <c r="BB2" s="1233" t="s">
        <v>1370</v>
      </c>
      <c r="BC2" s="1233" t="s">
        <v>1371</v>
      </c>
      <c r="BE2" s="1233">
        <v>2000</v>
      </c>
      <c r="BF2" s="1233" t="s">
        <v>1372</v>
      </c>
    </row>
    <row customHeight="1" ht="11.25">
      <c r="A3" s="1187" t="s">
        <v>1373</v>
      </c>
      <c r="B3" s="1188">
        <v>2001</v>
      </c>
      <c r="C3" s="1188">
        <v>2023</v>
      </c>
      <c r="D3" s="1188" t="s">
        <v>19</v>
      </c>
      <c r="E3" s="1189" t="s">
        <v>1374</v>
      </c>
      <c r="F3" s="1189" t="s">
        <v>1375</v>
      </c>
      <c r="G3" s="1189" t="s">
        <v>1376</v>
      </c>
      <c r="H3" s="1190" t="s">
        <v>55</v>
      </c>
      <c r="I3" s="1189" t="s">
        <v>104</v>
      </c>
      <c r="J3" s="1189" t="s">
        <v>685</v>
      </c>
      <c r="K3" s="1191" t="s">
        <v>1279</v>
      </c>
      <c r="L3" s="1192">
        <f>_xlfn.IFERROR(MATCH(K3,OFFER_METHOD,0),0)</f>
        <v>28</v>
      </c>
      <c r="M3" s="1191">
        <v>2</v>
      </c>
      <c r="N3" s="1275" t="s">
        <v>1377</v>
      </c>
      <c r="O3" s="1190" t="s">
        <v>1378</v>
      </c>
      <c r="P3" s="1193" t="s">
        <v>37</v>
      </c>
      <c r="Q3" s="1194" t="s">
        <v>1379</v>
      </c>
      <c r="R3" s="256" t="s">
        <v>622</v>
      </c>
      <c r="S3" s="256" t="s">
        <v>1380</v>
      </c>
      <c r="T3" s="1195" t="s">
        <v>1381</v>
      </c>
      <c r="U3" s="1192" t="s">
        <v>1382</v>
      </c>
      <c r="V3" s="1196">
        <v>2</v>
      </c>
      <c r="W3" s="1197"/>
      <c r="X3" s="1197" t="s">
        <v>1383</v>
      </c>
      <c r="Y3" s="1188" t="s">
        <v>1360</v>
      </c>
      <c r="Z3" s="1198"/>
      <c r="AA3" s="1188" t="s">
        <v>1384</v>
      </c>
      <c r="AB3" s="1199" t="s">
        <v>1384</v>
      </c>
      <c r="AC3" s="1188" t="s">
        <v>1385</v>
      </c>
      <c r="AD3" s="1199" t="s">
        <v>1385</v>
      </c>
      <c r="AF3" s="1190" t="s">
        <v>1382</v>
      </c>
      <c r="AH3" s="1189" t="s">
        <v>1386</v>
      </c>
      <c r="AI3" s="1189" t="s">
        <v>1387</v>
      </c>
      <c r="AK3" s="1189" t="s">
        <v>1388</v>
      </c>
      <c r="AM3" s="1189" t="s">
        <v>1389</v>
      </c>
      <c r="AP3" s="1200" t="s">
        <v>1390</v>
      </c>
      <c r="AQ3" s="1201" t="s">
        <v>1390</v>
      </c>
      <c r="AS3" s="1188" t="s">
        <v>1391</v>
      </c>
      <c r="AU3" s="1233" t="s">
        <v>1392</v>
      </c>
      <c r="AW3" s="1233" t="s">
        <v>1393</v>
      </c>
      <c r="AX3" s="1233" t="s">
        <v>1393</v>
      </c>
      <c r="AZ3" s="1233" t="s">
        <v>1394</v>
      </c>
      <c r="BB3" s="1233" t="s">
        <v>1395</v>
      </c>
      <c r="BC3" s="1233" t="s">
        <v>1371</v>
      </c>
      <c r="BE3" s="1233">
        <v>2001</v>
      </c>
      <c r="BF3" s="1233" t="s">
        <v>1396</v>
      </c>
      <c r="BH3" s="1180" t="s">
        <v>1397</v>
      </c>
      <c r="BJ3" s="1180" t="s">
        <v>1398</v>
      </c>
      <c r="BL3" s="1180" t="s">
        <v>1399</v>
      </c>
      <c r="BN3" s="1180" t="s">
        <v>1400</v>
      </c>
      <c r="BR3" s="1180" t="s">
        <v>1401</v>
      </c>
      <c r="BS3" s="1541"/>
      <c r="BT3" s="1183"/>
      <c r="BU3" s="1180" t="s">
        <v>1402</v>
      </c>
      <c r="BV3" s="1183"/>
      <c r="BW3" s="1803"/>
      <c r="BX3" s="1805" t="s">
        <v>1403</v>
      </c>
      <c r="CA3" s="1180" t="s">
        <v>1404</v>
      </c>
    </row>
    <row customHeight="1" ht="11.25">
      <c r="A4" s="1187" t="s">
        <v>1405</v>
      </c>
      <c r="B4" s="1188">
        <v>2002</v>
      </c>
      <c r="C4" s="1188">
        <v>2024</v>
      </c>
      <c r="E4" s="1189" t="s">
        <v>1406</v>
      </c>
      <c r="F4" s="1189" t="s">
        <v>1407</v>
      </c>
      <c r="H4" s="1190" t="s">
        <v>1408</v>
      </c>
      <c r="I4" s="1189" t="s">
        <v>90</v>
      </c>
      <c r="J4" s="1189" t="s">
        <v>1409</v>
      </c>
      <c r="K4" s="1191" t="s">
        <v>1410</v>
      </c>
      <c r="L4" s="1192">
        <f>_xlfn.IFERROR(MATCH(K4,OFFER_METHOD,0),0)</f>
        <v>0</v>
      </c>
      <c r="M4" s="1191">
        <v>3</v>
      </c>
      <c r="N4" s="1275" t="s">
        <v>1411</v>
      </c>
      <c r="O4" s="1189" t="s">
        <v>1412</v>
      </c>
      <c r="Q4" s="1194" t="s">
        <v>1413</v>
      </c>
      <c r="R4" s="256" t="s">
        <v>1414</v>
      </c>
      <c r="S4" s="256" t="s">
        <v>1415</v>
      </c>
      <c r="T4" s="1195" t="s">
        <v>1416</v>
      </c>
      <c r="U4" s="1192" t="s">
        <v>1417</v>
      </c>
      <c r="V4" s="1196">
        <v>3</v>
      </c>
      <c r="W4" s="1197"/>
      <c r="X4" s="1197" t="s">
        <v>1418</v>
      </c>
      <c r="Y4" s="1188" t="s">
        <v>1360</v>
      </c>
      <c r="Z4" s="1204"/>
      <c r="AC4" s="1188" t="s">
        <v>1419</v>
      </c>
      <c r="AD4" s="1199" t="s">
        <v>1419</v>
      </c>
      <c r="AF4" s="1190" t="s">
        <v>1417</v>
      </c>
      <c r="AH4" s="1190" t="s">
        <v>1420</v>
      </c>
      <c r="AK4" s="1189" t="s">
        <v>1421</v>
      </c>
      <c r="AM4" s="1189" t="s">
        <v>1422</v>
      </c>
      <c r="AP4" s="1200" t="s">
        <v>1383</v>
      </c>
      <c r="AQ4" s="1201" t="s">
        <v>1383</v>
      </c>
      <c r="AS4" s="1188" t="s">
        <v>1423</v>
      </c>
      <c r="AU4" s="1233" t="s">
        <v>1424</v>
      </c>
      <c r="AW4" s="1233" t="s">
        <v>1425</v>
      </c>
      <c r="AX4" s="1233" t="s">
        <v>1425</v>
      </c>
      <c r="AZ4" s="1233" t="s">
        <v>1426</v>
      </c>
      <c r="BB4" s="1233" t="s">
        <v>1427</v>
      </c>
      <c r="BC4" s="1233" t="s">
        <v>1428</v>
      </c>
      <c r="BE4" s="1233">
        <v>2002</v>
      </c>
      <c r="BF4" s="1233" t="s">
        <v>1429</v>
      </c>
      <c r="BH4" s="1181" t="s">
        <v>1430</v>
      </c>
      <c r="BJ4" s="1181" t="s">
        <v>1430</v>
      </c>
      <c r="BL4" s="1181" t="s">
        <v>1430</v>
      </c>
      <c r="BN4" s="1181" t="s">
        <v>1430</v>
      </c>
      <c r="BQ4" s="1545" t="s">
        <v>1431</v>
      </c>
      <c r="BR4" s="1272" t="s">
        <v>1432</v>
      </c>
      <c r="BS4" s="387"/>
      <c r="BT4" s="1545" t="s">
        <v>1433</v>
      </c>
      <c r="BU4" s="1272" t="s">
        <v>1434</v>
      </c>
      <c r="BV4" s="1183"/>
      <c r="BW4" s="1810" t="s">
        <v>1435</v>
      </c>
      <c r="BX4" s="1804" t="s">
        <v>1436</v>
      </c>
      <c r="BZ4" s="1545" t="s">
        <v>1437</v>
      </c>
      <c r="CA4" s="1272" t="s">
        <v>1438</v>
      </c>
    </row>
    <row customHeight="1" ht="11.25">
      <c r="A5" s="1187" t="s">
        <v>1439</v>
      </c>
      <c r="B5" s="1188">
        <v>2003</v>
      </c>
      <c r="C5" s="1188">
        <v>2025</v>
      </c>
      <c r="E5" s="1189" t="s">
        <v>1440</v>
      </c>
      <c r="F5" s="1189" t="s">
        <v>1441</v>
      </c>
      <c r="H5" s="1190" t="s">
        <v>1442</v>
      </c>
      <c r="I5" s="1189" t="s">
        <v>91</v>
      </c>
      <c r="K5" s="1191" t="s">
        <v>1443</v>
      </c>
      <c r="L5" s="1192">
        <f>_xlfn.IFERROR(MATCH(K5,OFFER_METHOD,0),0)</f>
        <v>0</v>
      </c>
      <c r="M5" s="1191">
        <v>4</v>
      </c>
      <c r="N5" s="1205" t="s">
        <v>1444</v>
      </c>
      <c r="O5" s="1189" t="s">
        <v>1445</v>
      </c>
      <c r="Q5" s="1194" t="s">
        <v>1446</v>
      </c>
      <c r="R5" s="256" t="s">
        <v>623</v>
      </c>
      <c r="T5" s="1190" t="s">
        <v>1447</v>
      </c>
      <c r="U5" s="1192" t="s">
        <v>1448</v>
      </c>
      <c r="V5" s="1196">
        <v>4</v>
      </c>
      <c r="W5" s="1197"/>
      <c r="X5" s="1197" t="s">
        <v>235</v>
      </c>
      <c r="Y5" s="1188" t="s">
        <v>1449</v>
      </c>
      <c r="Z5" s="1204">
        <v>1</v>
      </c>
      <c r="AF5" s="1190" t="s">
        <v>1450</v>
      </c>
      <c r="AH5" s="1189" t="s">
        <v>1451</v>
      </c>
      <c r="AK5" s="1189" t="s">
        <v>1452</v>
      </c>
      <c r="AM5" s="1189" t="s">
        <v>1453</v>
      </c>
      <c r="AP5" s="1200" t="s">
        <v>235</v>
      </c>
      <c r="AQ5" s="1201" t="s">
        <v>235</v>
      </c>
      <c r="AU5" s="1233" t="s">
        <v>1454</v>
      </c>
      <c r="AW5" s="1233" t="s">
        <v>1455</v>
      </c>
      <c r="AX5" s="1233" t="s">
        <v>1455</v>
      </c>
      <c r="AZ5" s="1233" t="s">
        <v>1456</v>
      </c>
      <c r="BB5" s="1233" t="s">
        <v>1457</v>
      </c>
      <c r="BC5" s="1233" t="s">
        <v>1458</v>
      </c>
      <c r="BE5" s="1233">
        <v>2003</v>
      </c>
      <c r="BF5" s="1233" t="s">
        <v>1459</v>
      </c>
      <c r="BH5" s="1181" t="s">
        <v>1460</v>
      </c>
      <c r="BJ5" s="1181" t="s">
        <v>1460</v>
      </c>
      <c r="BL5" s="1181" t="s">
        <v>1460</v>
      </c>
      <c r="BN5" s="1181" t="s">
        <v>1461</v>
      </c>
      <c r="BQ5" s="1394">
        <v>4213775</v>
      </c>
      <c r="BR5" s="1181" t="s">
        <v>1359</v>
      </c>
      <c r="BS5" s="1542"/>
      <c r="BT5" s="1394">
        <v>64236871</v>
      </c>
      <c r="BU5" s="1181" t="s">
        <v>357</v>
      </c>
      <c r="BV5" s="1183"/>
      <c r="BW5" s="1808">
        <v>4213767</v>
      </c>
      <c r="BX5" s="1806" t="s">
        <v>1462</v>
      </c>
      <c r="BZ5" s="1394">
        <v>64237509</v>
      </c>
      <c r="CA5" s="1408" t="s">
        <v>1463</v>
      </c>
    </row>
    <row customHeight="1" ht="11.25">
      <c r="A6" s="1187" t="s">
        <v>1464</v>
      </c>
      <c r="B6" s="1188">
        <v>2004</v>
      </c>
      <c r="C6" s="1188">
        <v>2026</v>
      </c>
      <c r="E6" s="1189" t="s">
        <v>1465</v>
      </c>
      <c r="F6" s="1206"/>
      <c r="H6" s="1190" t="s">
        <v>1466</v>
      </c>
      <c r="I6" s="1189" t="s">
        <v>118</v>
      </c>
      <c r="J6" s="1180" t="s">
        <v>1467</v>
      </c>
      <c r="L6" s="1192">
        <f>SUM(kind_of_control_method_filter)</f>
        <v>28</v>
      </c>
      <c r="N6" s="1205" t="s">
        <v>1468</v>
      </c>
      <c r="O6" s="1189" t="s">
        <v>1469</v>
      </c>
      <c r="R6" s="256" t="s">
        <v>1354</v>
      </c>
      <c r="T6" s="1190" t="s">
        <v>1470</v>
      </c>
      <c r="U6" s="1192" t="s">
        <v>1450</v>
      </c>
      <c r="V6" s="1196">
        <v>5</v>
      </c>
      <c r="W6" s="1197"/>
      <c r="X6" s="1188" t="s">
        <v>241</v>
      </c>
      <c r="Y6" s="1188" t="s">
        <v>1471</v>
      </c>
      <c r="Z6" s="1204"/>
      <c r="AA6" s="1207"/>
      <c r="AH6" s="1189" t="s">
        <v>1472</v>
      </c>
      <c r="AK6" s="1189" t="s">
        <v>1473</v>
      </c>
      <c r="AM6" s="1189" t="s">
        <v>1474</v>
      </c>
      <c r="AP6" s="1200" t="s">
        <v>241</v>
      </c>
      <c r="AQ6" s="1201" t="s">
        <v>241</v>
      </c>
      <c r="AU6" s="1233" t="s">
        <v>1475</v>
      </c>
      <c r="AW6" s="1233" t="s">
        <v>1476</v>
      </c>
      <c r="AX6" s="1233" t="s">
        <v>1476</v>
      </c>
      <c r="BB6" s="1233" t="s">
        <v>1477</v>
      </c>
      <c r="BC6" s="1233" t="s">
        <v>1458</v>
      </c>
      <c r="BE6" s="1233">
        <v>2004</v>
      </c>
      <c r="BF6" s="1233" t="s">
        <v>1478</v>
      </c>
      <c r="BH6" s="1181" t="s">
        <v>1479</v>
      </c>
      <c r="BJ6" s="1181" t="s">
        <v>1480</v>
      </c>
      <c r="BL6" s="1181" t="s">
        <v>1480</v>
      </c>
      <c r="BN6" s="1181" t="s">
        <v>1481</v>
      </c>
      <c r="BQ6" s="1394">
        <v>4213784</v>
      </c>
      <c r="BR6" s="1408" t="s">
        <v>1390</v>
      </c>
      <c r="BS6" s="1543"/>
      <c r="BT6" s="1394">
        <v>64236872</v>
      </c>
      <c r="BU6" s="1181" t="s">
        <v>362</v>
      </c>
      <c r="BV6" s="1183"/>
      <c r="BW6" s="1808">
        <v>4213768</v>
      </c>
      <c r="BX6" s="1806" t="s">
        <v>382</v>
      </c>
      <c r="BZ6" s="1394">
        <v>64237510</v>
      </c>
      <c r="CA6" s="1181" t="s">
        <v>1482</v>
      </c>
    </row>
    <row customHeight="1" ht="11.25">
      <c r="A7" s="1187" t="s">
        <v>1483</v>
      </c>
      <c r="B7" s="1188">
        <v>2005</v>
      </c>
      <c r="E7" s="1189" t="s">
        <v>1484</v>
      </c>
      <c r="F7" s="1206"/>
      <c r="H7" s="1190" t="s">
        <v>1485</v>
      </c>
      <c r="I7" s="1189" t="s">
        <v>92</v>
      </c>
      <c r="J7" s="1189" t="s">
        <v>1486</v>
      </c>
      <c r="N7" s="1209" t="s">
        <v>1487</v>
      </c>
      <c r="O7" s="1189" t="s">
        <v>1488</v>
      </c>
      <c r="U7" s="1192" t="s">
        <v>19</v>
      </c>
      <c r="V7" s="483" t="s">
        <v>92</v>
      </c>
      <c r="W7" s="1197"/>
      <c r="X7" s="1188" t="s">
        <v>247</v>
      </c>
      <c r="Y7" s="1188" t="s">
        <v>1449</v>
      </c>
      <c r="Z7" s="1204"/>
      <c r="AA7" s="1207"/>
      <c r="AH7" s="1189" t="s">
        <v>1489</v>
      </c>
      <c r="AK7" s="1189" t="s">
        <v>1490</v>
      </c>
      <c r="AM7" s="1189" t="s">
        <v>1491</v>
      </c>
      <c r="AP7" s="1200" t="s">
        <v>247</v>
      </c>
      <c r="AQ7" s="1201" t="s">
        <v>247</v>
      </c>
      <c r="AU7" s="1233" t="s">
        <v>1492</v>
      </c>
      <c r="AW7" s="1233" t="s">
        <v>1493</v>
      </c>
      <c r="AX7" s="1233" t="s">
        <v>1493</v>
      </c>
      <c r="AZ7" s="1180" t="s">
        <v>1494</v>
      </c>
      <c r="BB7" s="1233" t="s">
        <v>1495</v>
      </c>
      <c r="BC7" s="1233" t="s">
        <v>1458</v>
      </c>
      <c r="BE7" s="1233">
        <v>2005</v>
      </c>
      <c r="BF7" s="1233" t="s">
        <v>1496</v>
      </c>
      <c r="BH7" s="1181" t="s">
        <v>1497</v>
      </c>
      <c r="BJ7" s="1181" t="s">
        <v>1479</v>
      </c>
      <c r="BL7" s="1181" t="s">
        <v>1479</v>
      </c>
      <c r="BN7" s="1181" t="s">
        <v>1498</v>
      </c>
      <c r="BQ7" s="1394">
        <v>4213781</v>
      </c>
      <c r="BR7" s="1181" t="s">
        <v>1383</v>
      </c>
      <c r="BS7" s="1542"/>
      <c r="BT7" s="1394">
        <v>64236873</v>
      </c>
      <c r="BU7" s="1181" t="s">
        <v>367</v>
      </c>
      <c r="BV7" s="1183"/>
      <c r="BW7" s="1808">
        <v>4213769</v>
      </c>
      <c r="BX7" s="1806" t="s">
        <v>1499</v>
      </c>
      <c r="BZ7" s="1394">
        <v>64237511</v>
      </c>
      <c r="CA7" s="1181" t="s">
        <v>397</v>
      </c>
    </row>
    <row customHeight="1" ht="11.25">
      <c r="A8" s="1187" t="s">
        <v>1500</v>
      </c>
      <c r="B8" s="1188">
        <v>2006</v>
      </c>
      <c r="E8" s="1189" t="s">
        <v>1501</v>
      </c>
      <c r="F8" s="1206"/>
      <c r="H8" s="1190" t="s">
        <v>1502</v>
      </c>
      <c r="I8" s="1189" t="s">
        <v>93</v>
      </c>
      <c r="J8" s="1189" t="s">
        <v>1503</v>
      </c>
      <c r="N8" s="1276" t="s">
        <v>1504</v>
      </c>
      <c r="O8" s="1189" t="s">
        <v>1505</v>
      </c>
      <c r="V8" s="483" t="s">
        <v>93</v>
      </c>
      <c r="W8" s="1197"/>
      <c r="X8" s="1188" t="s">
        <v>253</v>
      </c>
      <c r="Y8" s="1188" t="s">
        <v>1449</v>
      </c>
      <c r="Z8" s="1204"/>
      <c r="AA8" s="1207"/>
      <c r="AK8" s="1189" t="s">
        <v>1506</v>
      </c>
      <c r="AP8" s="1200" t="s">
        <v>253</v>
      </c>
      <c r="AQ8" s="1201" t="s">
        <v>253</v>
      </c>
      <c r="AU8" s="1233" t="s">
        <v>1507</v>
      </c>
      <c r="AW8" s="1233" t="s">
        <v>1508</v>
      </c>
      <c r="AX8" s="1233" t="s">
        <v>1508</v>
      </c>
      <c r="AZ8" s="1233" t="s">
        <v>1509</v>
      </c>
      <c r="BB8" s="1233" t="s">
        <v>1510</v>
      </c>
      <c r="BC8" s="1233" t="s">
        <v>1458</v>
      </c>
      <c r="BE8" s="1233">
        <v>2006</v>
      </c>
      <c r="BF8" s="1233" t="s">
        <v>1511</v>
      </c>
      <c r="BH8" s="1181" t="s">
        <v>1512</v>
      </c>
      <c r="BJ8" s="1181" t="s">
        <v>1513</v>
      </c>
      <c r="BL8" s="1181" t="s">
        <v>1513</v>
      </c>
      <c r="BN8" s="1181" t="s">
        <v>1514</v>
      </c>
      <c r="BQ8" s="1394">
        <v>4213776</v>
      </c>
      <c r="BR8" s="1181" t="s">
        <v>235</v>
      </c>
      <c r="BS8" s="1542"/>
      <c r="BT8" s="1394">
        <v>64236874</v>
      </c>
      <c r="BU8" s="1408" t="s">
        <v>1515</v>
      </c>
      <c r="BV8" s="1183"/>
      <c r="BW8" s="1808">
        <v>4213770</v>
      </c>
      <c r="BX8" s="1809" t="s">
        <v>1516</v>
      </c>
      <c r="BZ8" s="1394">
        <v>64237512</v>
      </c>
      <c r="CA8" s="1181" t="s">
        <v>392</v>
      </c>
    </row>
    <row customHeight="1" ht="11.25">
      <c r="A9" s="1187" t="s">
        <v>1517</v>
      </c>
      <c r="B9" s="1188">
        <v>2007</v>
      </c>
      <c r="E9" s="1189" t="s">
        <v>1518</v>
      </c>
      <c r="F9" s="1206"/>
      <c r="G9" s="1180" t="s">
        <v>1519</v>
      </c>
      <c r="H9" s="1180" t="s">
        <v>1520</v>
      </c>
      <c r="I9" s="1189" t="s">
        <v>131</v>
      </c>
      <c r="O9" s="1189" t="s">
        <v>1521</v>
      </c>
      <c r="V9" s="483" t="s">
        <v>131</v>
      </c>
      <c r="W9" s="1197"/>
      <c r="X9" s="1188" t="s">
        <v>259</v>
      </c>
      <c r="Y9" s="1188" t="s">
        <v>1360</v>
      </c>
      <c r="Z9" s="1204">
        <v>1</v>
      </c>
      <c r="AA9" s="1207"/>
      <c r="AK9" s="1189" t="s">
        <v>1522</v>
      </c>
      <c r="AP9" s="1200" t="s">
        <v>1523</v>
      </c>
      <c r="AQ9" s="1201" t="s">
        <v>1523</v>
      </c>
      <c r="AW9" s="1233" t="s">
        <v>1524</v>
      </c>
      <c r="AX9" s="1233" t="s">
        <v>1524</v>
      </c>
      <c r="AZ9" s="1233" t="s">
        <v>1525</v>
      </c>
      <c r="BB9" s="1233" t="s">
        <v>1526</v>
      </c>
      <c r="BC9" s="1233" t="s">
        <v>1458</v>
      </c>
      <c r="BE9" s="1233">
        <v>2007</v>
      </c>
      <c r="BF9" s="1233" t="s">
        <v>1527</v>
      </c>
      <c r="BH9" s="1181" t="s">
        <v>1528</v>
      </c>
      <c r="BJ9" s="1181" t="s">
        <v>1529</v>
      </c>
      <c r="BL9" s="1181" t="s">
        <v>1529</v>
      </c>
      <c r="BN9" s="1181" t="s">
        <v>1530</v>
      </c>
      <c r="BQ9" s="1394">
        <v>4213777</v>
      </c>
      <c r="BR9" s="1181" t="s">
        <v>241</v>
      </c>
      <c r="BS9" s="1542"/>
      <c r="BT9" s="1394">
        <v>64236875</v>
      </c>
      <c r="BU9" s="1181" t="s">
        <v>372</v>
      </c>
      <c r="BV9" s="1183"/>
      <c r="BW9" s="1803"/>
      <c r="BX9" s="1803"/>
    </row>
    <row customHeight="1" ht="11.25">
      <c r="A10" s="1187" t="s">
        <v>1531</v>
      </c>
      <c r="B10" s="1188">
        <v>2008</v>
      </c>
      <c r="E10" s="1189" t="s">
        <v>1532</v>
      </c>
      <c r="F10" s="1206"/>
      <c r="G10" s="1189" t="s">
        <v>1533</v>
      </c>
      <c r="H10" s="1189" t="s">
        <v>1534</v>
      </c>
      <c r="I10" s="1189" t="s">
        <v>136</v>
      </c>
      <c r="J10" s="1180" t="s">
        <v>1535</v>
      </c>
      <c r="K10" s="1180" t="s">
        <v>1536</v>
      </c>
      <c r="O10" s="1189" t="s">
        <v>1537</v>
      </c>
      <c r="V10" s="484" t="s">
        <v>136</v>
      </c>
      <c r="W10" s="1210"/>
      <c r="X10" s="1210" t="s">
        <v>1538</v>
      </c>
      <c r="Y10" s="1211" t="s">
        <v>1539</v>
      </c>
      <c r="Z10" s="1204"/>
      <c r="AP10" s="1200" t="s">
        <v>1538</v>
      </c>
      <c r="AQ10" s="1201" t="s">
        <v>1538</v>
      </c>
      <c r="AW10" s="1233" t="s">
        <v>1540</v>
      </c>
      <c r="AX10" s="1233" t="s">
        <v>1540</v>
      </c>
      <c r="AZ10" s="1233" t="s">
        <v>1541</v>
      </c>
      <c r="BB10" s="1233" t="s">
        <v>1542</v>
      </c>
      <c r="BC10" s="1233" t="s">
        <v>1458</v>
      </c>
      <c r="BE10" s="1233">
        <v>2008</v>
      </c>
      <c r="BF10" s="1233" t="s">
        <v>1543</v>
      </c>
      <c r="BH10" s="1181" t="s">
        <v>1544</v>
      </c>
      <c r="BJ10" s="1181" t="s">
        <v>1545</v>
      </c>
      <c r="BL10" s="1181" t="s">
        <v>1545</v>
      </c>
      <c r="BN10" s="1181" t="s">
        <v>1546</v>
      </c>
      <c r="BQ10" s="1394">
        <v>4213778</v>
      </c>
      <c r="BR10" s="1181" t="s">
        <v>247</v>
      </c>
      <c r="BS10" s="1542"/>
      <c r="BT10" s="1394">
        <v>64236876</v>
      </c>
      <c r="BU10" s="1181" t="s">
        <v>291</v>
      </c>
      <c r="BV10" s="1183"/>
      <c r="BW10" s="1803"/>
      <c r="BX10" s="1803"/>
    </row>
    <row customHeight="1" ht="11.25">
      <c r="A11" s="1187" t="s">
        <v>1547</v>
      </c>
      <c r="B11" s="1188">
        <v>2009</v>
      </c>
      <c r="E11" s="1189" t="s">
        <v>1548</v>
      </c>
      <c r="F11" s="1206"/>
      <c r="G11" s="1189" t="s">
        <v>1549</v>
      </c>
      <c r="H11" s="1189" t="s">
        <v>1550</v>
      </c>
      <c r="I11" s="1189" t="s">
        <v>141</v>
      </c>
      <c r="J11" s="1190" t="s">
        <v>1551</v>
      </c>
      <c r="K11" s="1212" t="s">
        <v>1552</v>
      </c>
      <c r="O11" s="1190" t="s">
        <v>1553</v>
      </c>
      <c r="V11" s="483" t="s">
        <v>141</v>
      </c>
      <c r="W11" s="388"/>
      <c r="X11" s="1197" t="s">
        <v>1523</v>
      </c>
      <c r="Y11" s="1188" t="s">
        <v>1554</v>
      </c>
      <c r="Z11" s="1204"/>
      <c r="AP11" s="1200" t="s">
        <v>259</v>
      </c>
      <c r="AQ11" s="1202" t="s">
        <v>259</v>
      </c>
      <c r="AW11" s="1233" t="s">
        <v>1555</v>
      </c>
      <c r="AX11" s="1233" t="s">
        <v>1555</v>
      </c>
      <c r="AZ11" s="1233" t="s">
        <v>1556</v>
      </c>
      <c r="BB11" s="1233" t="s">
        <v>1557</v>
      </c>
      <c r="BC11" s="1233" t="s">
        <v>1458</v>
      </c>
      <c r="BE11" s="1233">
        <v>2009</v>
      </c>
      <c r="BF11" s="1233" t="s">
        <v>1558</v>
      </c>
      <c r="BH11" s="1181" t="s">
        <v>1559</v>
      </c>
      <c r="BJ11" s="1181" t="s">
        <v>1528</v>
      </c>
      <c r="BL11" s="1181" t="s">
        <v>1528</v>
      </c>
      <c r="BN11" s="1181" t="s">
        <v>1560</v>
      </c>
      <c r="BQ11" s="1394">
        <v>4213780</v>
      </c>
      <c r="BR11" s="1181" t="s">
        <v>253</v>
      </c>
      <c r="BS11" s="1542"/>
      <c r="BW11" s="1803"/>
      <c r="BX11" s="1803"/>
    </row>
    <row customHeight="1" ht="11.25">
      <c r="A12" s="1187" t="s">
        <v>1561</v>
      </c>
      <c r="B12" s="1188">
        <v>2010</v>
      </c>
      <c r="E12" s="1189" t="s">
        <v>1562</v>
      </c>
      <c r="F12" s="1206"/>
      <c r="G12" s="1189" t="s">
        <v>1550</v>
      </c>
      <c r="I12" s="1189" t="s">
        <v>146</v>
      </c>
      <c r="J12" s="1190" t="s">
        <v>1563</v>
      </c>
      <c r="K12" s="1212" t="s">
        <v>1564</v>
      </c>
      <c r="O12" s="1190" t="s">
        <v>1354</v>
      </c>
      <c r="V12" s="483" t="s">
        <v>146</v>
      </c>
      <c r="W12" s="1202"/>
      <c r="X12" s="1197" t="s">
        <v>1565</v>
      </c>
      <c r="Y12" s="1188" t="s">
        <v>1360</v>
      </c>
      <c r="AP12" s="1200"/>
      <c r="AW12" s="1233" t="s">
        <v>141</v>
      </c>
      <c r="AX12" s="1233" t="s">
        <v>141</v>
      </c>
      <c r="AZ12" s="1233" t="s">
        <v>1566</v>
      </c>
      <c r="BB12" s="1233" t="s">
        <v>1567</v>
      </c>
      <c r="BC12" s="1233" t="s">
        <v>1458</v>
      </c>
      <c r="BE12" s="1233">
        <v>2010</v>
      </c>
      <c r="BF12" s="1233" t="s">
        <v>1568</v>
      </c>
      <c r="BH12" s="1181" t="s">
        <v>1569</v>
      </c>
      <c r="BJ12" s="1181" t="s">
        <v>1570</v>
      </c>
      <c r="BL12" s="1181" t="s">
        <v>1570</v>
      </c>
      <c r="BN12" s="1181" t="s">
        <v>1571</v>
      </c>
      <c r="BQ12" s="1394">
        <v>4213779</v>
      </c>
      <c r="BR12" s="1181" t="s">
        <v>1523</v>
      </c>
      <c r="BS12" s="1542"/>
      <c r="BT12" s="1183"/>
      <c r="BU12" s="1183"/>
      <c r="BV12" s="1183"/>
      <c r="BW12" s="1803"/>
      <c r="BX12" s="1803"/>
    </row>
    <row customHeight="1" ht="11.25">
      <c r="A13" s="1187" t="s">
        <v>1572</v>
      </c>
      <c r="B13" s="1188">
        <v>2011</v>
      </c>
      <c r="E13" s="1189" t="s">
        <v>1573</v>
      </c>
      <c r="F13" s="1206"/>
      <c r="I13" s="1189" t="s">
        <v>151</v>
      </c>
      <c r="K13" s="1212" t="s">
        <v>1522</v>
      </c>
      <c r="V13" s="483" t="s">
        <v>151</v>
      </c>
      <c r="W13" s="1202"/>
      <c r="X13" s="1202"/>
      <c r="Y13" s="1202"/>
      <c r="AW13" s="1233" t="s">
        <v>146</v>
      </c>
      <c r="AX13" s="1233" t="s">
        <v>146</v>
      </c>
      <c r="BB13" s="1233" t="s">
        <v>1574</v>
      </c>
      <c r="BC13" s="1233" t="s">
        <v>1575</v>
      </c>
      <c r="BE13" s="1233">
        <v>2011</v>
      </c>
      <c r="BF13" s="1233" t="s">
        <v>1576</v>
      </c>
      <c r="BH13" s="1181" t="s">
        <v>1577</v>
      </c>
      <c r="BJ13" s="1181" t="s">
        <v>1559</v>
      </c>
      <c r="BL13" s="1181" t="s">
        <v>1559</v>
      </c>
      <c r="BN13" s="1181" t="s">
        <v>1578</v>
      </c>
      <c r="BQ13" s="1394">
        <v>4213783</v>
      </c>
      <c r="BR13" s="1181" t="s">
        <v>1538</v>
      </c>
      <c r="BS13" s="1542"/>
      <c r="BT13" s="1183"/>
      <c r="BU13" s="1183"/>
      <c r="BV13" s="1183"/>
      <c r="BW13" s="1807"/>
      <c r="BX13" s="1803"/>
    </row>
    <row customHeight="1" ht="11.25">
      <c r="A14" s="1187" t="s">
        <v>1579</v>
      </c>
      <c r="B14" s="1188">
        <v>2012</v>
      </c>
      <c r="I14" s="1189" t="s">
        <v>156</v>
      </c>
      <c r="J14" s="1180" t="s">
        <v>1580</v>
      </c>
      <c r="N14" s="1180" t="s">
        <v>1581</v>
      </c>
      <c r="V14" s="1196">
        <v>13</v>
      </c>
      <c r="W14" s="1197"/>
      <c r="X14" s="1197" t="s">
        <v>1390</v>
      </c>
      <c r="Y14" s="1188" t="s">
        <v>1360</v>
      </c>
      <c r="AW14" s="1233" t="s">
        <v>151</v>
      </c>
      <c r="AX14" s="1233" t="s">
        <v>151</v>
      </c>
      <c r="AZ14" s="1180" t="s">
        <v>1582</v>
      </c>
      <c r="BB14" s="1233" t="s">
        <v>1583</v>
      </c>
      <c r="BC14" s="1233" t="s">
        <v>1575</v>
      </c>
      <c r="BE14" s="1233">
        <v>2012</v>
      </c>
      <c r="BH14" s="1181" t="s">
        <v>1498</v>
      </c>
      <c r="BJ14" s="1330" t="s">
        <v>1584</v>
      </c>
      <c r="BL14" s="1330" t="s">
        <v>1584</v>
      </c>
      <c r="BN14" s="1181" t="s">
        <v>1585</v>
      </c>
      <c r="BQ14" s="1394">
        <v>4213782</v>
      </c>
      <c r="BR14" s="1181" t="s">
        <v>259</v>
      </c>
      <c r="BS14" s="1542"/>
      <c r="BT14" s="1183"/>
      <c r="BU14" s="1183"/>
      <c r="BV14" s="1183"/>
      <c r="BW14" s="1807"/>
      <c r="BX14" s="1803"/>
    </row>
    <row customHeight="1" ht="19.5">
      <c r="A15" s="1187" t="s">
        <v>1586</v>
      </c>
      <c r="B15" s="1188">
        <v>2013</v>
      </c>
      <c r="E15" s="1811" t="s">
        <v>1587</v>
      </c>
      <c r="G15" s="1180" t="s">
        <v>1588</v>
      </c>
      <c r="H15" s="1180" t="s">
        <v>1589</v>
      </c>
      <c r="I15" s="1191" t="s">
        <v>161</v>
      </c>
      <c r="J15" s="1202" t="s">
        <v>712</v>
      </c>
      <c r="N15" s="1271" t="s">
        <v>1590</v>
      </c>
      <c r="X15" s="1200"/>
      <c r="AW15" s="1233" t="s">
        <v>156</v>
      </c>
      <c r="AX15" s="1233" t="s">
        <v>156</v>
      </c>
      <c r="AZ15" s="1233" t="s">
        <v>1509</v>
      </c>
      <c r="BB15" s="1233" t="s">
        <v>1591</v>
      </c>
      <c r="BC15" s="1233" t="s">
        <v>1575</v>
      </c>
      <c r="BE15" s="1233">
        <v>2013</v>
      </c>
      <c r="BH15" s="1181" t="s">
        <v>1514</v>
      </c>
      <c r="BJ15" s="1330" t="s">
        <v>1592</v>
      </c>
      <c r="BL15" s="1330" t="s">
        <v>1592</v>
      </c>
      <c r="BN15" s="1181" t="s">
        <v>1593</v>
      </c>
      <c r="BR15" s="1183"/>
      <c r="BS15" s="1544"/>
      <c r="BT15" s="1183"/>
      <c r="BU15" s="1183"/>
      <c r="BV15" s="1183"/>
      <c r="BW15" s="1807"/>
      <c r="BX15" s="1803"/>
    </row>
    <row customHeight="1" ht="21">
      <c r="A16" s="1983" t="s">
        <v>1594</v>
      </c>
      <c r="B16" s="1188">
        <v>2014</v>
      </c>
      <c r="E16" s="1812" t="s">
        <v>1595</v>
      </c>
      <c r="G16" s="1189" t="s">
        <v>1596</v>
      </c>
      <c r="H16" s="1189" t="s">
        <v>1597</v>
      </c>
      <c r="I16" s="1191" t="s">
        <v>166</v>
      </c>
      <c r="J16" s="1202" t="s">
        <v>685</v>
      </c>
      <c r="N16" s="1271" t="s">
        <v>1598</v>
      </c>
      <c r="AW16" s="1233" t="s">
        <v>161</v>
      </c>
      <c r="AX16" s="1233" t="s">
        <v>161</v>
      </c>
      <c r="AZ16" s="1233" t="s">
        <v>1525</v>
      </c>
      <c r="BB16" s="1233" t="s">
        <v>1599</v>
      </c>
      <c r="BC16" s="1233" t="s">
        <v>1575</v>
      </c>
      <c r="BE16" s="1233">
        <v>2014</v>
      </c>
      <c r="BH16" s="1181" t="s">
        <v>1530</v>
      </c>
      <c r="BJ16" s="1330" t="s">
        <v>1600</v>
      </c>
      <c r="BL16" s="1330" t="s">
        <v>1600</v>
      </c>
      <c r="BN16" s="1181" t="s">
        <v>1601</v>
      </c>
      <c r="BR16" s="1183"/>
      <c r="BS16" s="1544"/>
      <c r="BT16" s="1183"/>
      <c r="BU16" s="1183"/>
      <c r="BV16" s="1183"/>
      <c r="BW16" s="1807"/>
      <c r="BX16" s="1803"/>
    </row>
    <row customHeight="1" ht="21">
      <c r="A17" s="1187" t="s">
        <v>1602</v>
      </c>
      <c r="B17" s="1188">
        <v>2015</v>
      </c>
      <c r="G17" s="1189" t="s">
        <v>1550</v>
      </c>
      <c r="H17" s="1189" t="s">
        <v>1550</v>
      </c>
      <c r="I17" s="1189" t="s">
        <v>171</v>
      </c>
      <c r="N17" s="1271" t="s">
        <v>1603</v>
      </c>
      <c r="X17" s="1200"/>
      <c r="AW17" s="1233" t="s">
        <v>166</v>
      </c>
      <c r="AX17" s="1233" t="s">
        <v>166</v>
      </c>
      <c r="AZ17" s="1233" t="s">
        <v>1604</v>
      </c>
      <c r="BB17" s="1233" t="s">
        <v>1605</v>
      </c>
      <c r="BC17" s="1233" t="s">
        <v>1458</v>
      </c>
      <c r="BE17" s="1233">
        <v>2015</v>
      </c>
      <c r="BH17" s="1181" t="s">
        <v>1546</v>
      </c>
      <c r="BJ17" s="1330" t="s">
        <v>1606</v>
      </c>
      <c r="BL17" s="1330" t="s">
        <v>1606</v>
      </c>
      <c r="BN17" s="1181" t="s">
        <v>1607</v>
      </c>
      <c r="BR17" s="1180" t="s">
        <v>1401</v>
      </c>
      <c r="BS17" s="1541"/>
      <c r="BU17" s="1180" t="s">
        <v>1608</v>
      </c>
      <c r="BV17" s="1183"/>
      <c r="BW17" s="1803"/>
      <c r="BX17" s="1805" t="s">
        <v>1609</v>
      </c>
      <c r="CA17" s="1180" t="s">
        <v>1610</v>
      </c>
      <c r="CD17" s="1180" t="s">
        <v>1611</v>
      </c>
    </row>
    <row customHeight="1" ht="21">
      <c r="A18" s="1187" t="s">
        <v>1612</v>
      </c>
      <c r="B18" s="1188">
        <v>2016</v>
      </c>
      <c r="E18" s="2118" t="s">
        <v>1613</v>
      </c>
      <c r="I18" s="1189" t="s">
        <v>176</v>
      </c>
      <c r="N18" s="1271" t="s">
        <v>1614</v>
      </c>
      <c r="X18" s="1200"/>
      <c r="AW18" s="1233" t="s">
        <v>171</v>
      </c>
      <c r="AX18" s="1233" t="s">
        <v>171</v>
      </c>
      <c r="BB18" s="1233" t="s">
        <v>1615</v>
      </c>
      <c r="BC18" s="1233" t="s">
        <v>1458</v>
      </c>
      <c r="BE18" s="1233">
        <v>2016</v>
      </c>
      <c r="BH18" s="1181" t="s">
        <v>1560</v>
      </c>
      <c r="BJ18" s="1330" t="s">
        <v>1616</v>
      </c>
      <c r="BL18" s="1330" t="s">
        <v>1616</v>
      </c>
      <c r="BN18" s="1181" t="s">
        <v>1617</v>
      </c>
      <c r="BQ18" s="1545" t="s">
        <v>1431</v>
      </c>
      <c r="BR18" s="1272" t="s">
        <v>1432</v>
      </c>
      <c r="BS18" s="387"/>
      <c r="BT18" s="1545" t="s">
        <v>1618</v>
      </c>
      <c r="BU18" s="1272" t="s">
        <v>1619</v>
      </c>
      <c r="BV18" s="1183"/>
      <c r="BW18" s="1810" t="s">
        <v>1620</v>
      </c>
      <c r="BX18" s="1804" t="s">
        <v>1621</v>
      </c>
      <c r="BZ18" s="1545" t="s">
        <v>1622</v>
      </c>
      <c r="CA18" s="1272" t="s">
        <v>1623</v>
      </c>
      <c r="CC18" s="1545" t="s">
        <v>1624</v>
      </c>
      <c r="CD18" s="1272" t="s">
        <v>1625</v>
      </c>
    </row>
    <row customHeight="1" ht="21">
      <c r="A19" s="1983" t="s">
        <v>1626</v>
      </c>
      <c r="B19" s="1188">
        <v>2017</v>
      </c>
      <c r="E19" s="1187" t="s">
        <v>234</v>
      </c>
      <c r="I19" s="1189" t="s">
        <v>1627</v>
      </c>
      <c r="N19" s="1271" t="s">
        <v>1628</v>
      </c>
      <c r="X19" s="1200"/>
      <c r="AW19" s="1233" t="s">
        <v>176</v>
      </c>
      <c r="AX19" s="1233" t="s">
        <v>176</v>
      </c>
      <c r="AZ19" s="1180" t="s">
        <v>1629</v>
      </c>
      <c r="BB19" s="1233" t="s">
        <v>1630</v>
      </c>
      <c r="BC19" s="1233" t="s">
        <v>1458</v>
      </c>
      <c r="BE19" s="1233">
        <v>2017</v>
      </c>
      <c r="BH19" s="1181" t="s">
        <v>1631</v>
      </c>
      <c r="BJ19" s="1330" t="s">
        <v>1632</v>
      </c>
      <c r="BL19" s="1330" t="s">
        <v>1632</v>
      </c>
      <c r="BQ19" s="1394">
        <v>4190064</v>
      </c>
      <c r="BR19" s="1181" t="s">
        <v>1633</v>
      </c>
      <c r="BS19" s="1542"/>
      <c r="BT19" s="1394">
        <v>4189671</v>
      </c>
      <c r="BU19" s="1181" t="s">
        <v>1634</v>
      </c>
      <c r="BV19" s="1183"/>
      <c r="BW19" s="1808">
        <v>4189706</v>
      </c>
      <c r="BX19" s="1806" t="s">
        <v>1635</v>
      </c>
      <c r="BZ19" s="1394">
        <v>4189714</v>
      </c>
      <c r="CA19" s="1181" t="s">
        <v>1636</v>
      </c>
      <c r="CC19" s="1394">
        <v>4189708</v>
      </c>
      <c r="CD19" s="1181" t="s">
        <v>1637</v>
      </c>
    </row>
    <row customHeight="1" ht="21">
      <c r="A20" s="1187" t="s">
        <v>1638</v>
      </c>
      <c r="B20" s="1188">
        <v>2018</v>
      </c>
      <c r="E20" s="1187" t="s">
        <v>1390</v>
      </c>
      <c r="I20" s="1189" t="s">
        <v>1639</v>
      </c>
      <c r="N20" s="1271" t="s">
        <v>1640</v>
      </c>
      <c r="AW20" s="1233" t="s">
        <v>1627</v>
      </c>
      <c r="AX20" s="1233" t="s">
        <v>1627</v>
      </c>
      <c r="AZ20" s="1233" t="s">
        <v>1641</v>
      </c>
      <c r="BB20" s="1233" t="s">
        <v>1642</v>
      </c>
      <c r="BC20" s="1233" t="s">
        <v>1575</v>
      </c>
      <c r="BE20" s="1233">
        <v>2018</v>
      </c>
      <c r="BH20" s="1181" t="s">
        <v>1571</v>
      </c>
      <c r="BJ20" s="1181" t="s">
        <v>1498</v>
      </c>
      <c r="BL20" s="1181" t="s">
        <v>1498</v>
      </c>
      <c r="BQ20" s="1394">
        <v>4190065</v>
      </c>
      <c r="BR20" s="1181" t="s">
        <v>1643</v>
      </c>
      <c r="BS20" s="1542"/>
      <c r="BT20" s="1394">
        <v>4189672</v>
      </c>
      <c r="BU20" s="1181" t="s">
        <v>1644</v>
      </c>
      <c r="BV20" s="1183"/>
      <c r="BW20" s="1808">
        <v>4189705</v>
      </c>
      <c r="BX20" s="1806" t="s">
        <v>1645</v>
      </c>
      <c r="BZ20" s="1394">
        <v>4189713</v>
      </c>
      <c r="CA20" s="1181" t="s">
        <v>1645</v>
      </c>
      <c r="CC20" s="1394">
        <v>4189709</v>
      </c>
      <c r="CD20" s="1181" t="s">
        <v>1646</v>
      </c>
    </row>
    <row customHeight="1" ht="21">
      <c r="A21" s="1187" t="s">
        <v>1647</v>
      </c>
      <c r="B21" s="1188">
        <v>2019</v>
      </c>
      <c r="I21" s="1189" t="s">
        <v>1648</v>
      </c>
      <c r="N21" s="1271" t="s">
        <v>1649</v>
      </c>
      <c r="AW21" s="1233" t="s">
        <v>1639</v>
      </c>
      <c r="AX21" s="1233" t="s">
        <v>1639</v>
      </c>
      <c r="AZ21" s="1233" t="s">
        <v>1650</v>
      </c>
      <c r="BB21" s="1233" t="s">
        <v>1651</v>
      </c>
      <c r="BC21" s="1233" t="s">
        <v>1458</v>
      </c>
      <c r="BE21" s="1233">
        <v>2019</v>
      </c>
      <c r="BH21" s="1181" t="s">
        <v>1578</v>
      </c>
      <c r="BJ21" s="1181" t="s">
        <v>1514</v>
      </c>
      <c r="BL21" s="1181" t="s">
        <v>1514</v>
      </c>
      <c r="BQ21" s="1394">
        <v>4190066</v>
      </c>
      <c r="BR21" s="1181" t="s">
        <v>1652</v>
      </c>
      <c r="BS21" s="1542"/>
      <c r="BT21" s="1394">
        <v>4189673</v>
      </c>
      <c r="BU21" s="1181" t="s">
        <v>1653</v>
      </c>
      <c r="BV21" s="1183"/>
      <c r="BW21" s="1808">
        <v>4189707</v>
      </c>
      <c r="BX21" s="1806" t="s">
        <v>1654</v>
      </c>
      <c r="BZ21" s="1394">
        <v>4189712</v>
      </c>
      <c r="CA21" s="1181" t="s">
        <v>1655</v>
      </c>
      <c r="CC21" s="1394">
        <v>4189710</v>
      </c>
      <c r="CD21" s="1181" t="s">
        <v>1656</v>
      </c>
    </row>
    <row customHeight="1" ht="21">
      <c r="A22" s="1187" t="s">
        <v>1657</v>
      </c>
      <c r="B22" s="1188">
        <v>2020</v>
      </c>
      <c r="N22" s="1271" t="s">
        <v>1658</v>
      </c>
      <c r="AW22" s="1233" t="s">
        <v>1648</v>
      </c>
      <c r="AX22" s="1233" t="s">
        <v>1648</v>
      </c>
      <c r="AZ22" s="1233" t="s">
        <v>1659</v>
      </c>
      <c r="BB22" s="1233" t="s">
        <v>1660</v>
      </c>
      <c r="BC22" s="1233" t="s">
        <v>1458</v>
      </c>
      <c r="BE22" s="1233">
        <v>2020</v>
      </c>
      <c r="BH22" s="1181" t="s">
        <v>1585</v>
      </c>
      <c r="BJ22" s="1181" t="s">
        <v>1530</v>
      </c>
      <c r="BL22" s="1181" t="s">
        <v>1530</v>
      </c>
      <c r="BQ22" s="1394">
        <v>4190067</v>
      </c>
      <c r="BR22" s="1181" t="s">
        <v>1661</v>
      </c>
      <c r="BS22" s="1542"/>
      <c r="BT22" s="1394">
        <v>4189674</v>
      </c>
      <c r="BU22" s="1181" t="s">
        <v>1662</v>
      </c>
      <c r="BV22" s="1183"/>
      <c r="BW22" s="1183"/>
      <c r="CC22" s="1394">
        <v>4189711</v>
      </c>
      <c r="CD22" s="1181" t="s">
        <v>421</v>
      </c>
    </row>
    <row customHeight="1" ht="21">
      <c r="A23" s="1187" t="s">
        <v>1663</v>
      </c>
      <c r="B23" s="1188">
        <v>2021</v>
      </c>
      <c r="AW23" s="1233" t="s">
        <v>1664</v>
      </c>
      <c r="AX23" s="1233" t="s">
        <v>1664</v>
      </c>
      <c r="AZ23" s="1233" t="s">
        <v>1665</v>
      </c>
      <c r="BB23" s="1233" t="s">
        <v>1666</v>
      </c>
      <c r="BC23" s="1233" t="s">
        <v>1371</v>
      </c>
      <c r="BE23" s="1233">
        <v>2021</v>
      </c>
      <c r="BH23" s="1181" t="s">
        <v>1593</v>
      </c>
      <c r="BJ23" s="1181" t="s">
        <v>1546</v>
      </c>
      <c r="BL23" s="1181" t="s">
        <v>1546</v>
      </c>
      <c r="BQ23" s="1394">
        <v>4190068</v>
      </c>
      <c r="BR23" s="1181" t="s">
        <v>1667</v>
      </c>
      <c r="BS23" s="1542"/>
      <c r="BT23" s="1394">
        <v>4189675</v>
      </c>
      <c r="BU23" s="1181" t="s">
        <v>1668</v>
      </c>
      <c r="BV23" s="1183"/>
      <c r="BW23" s="1183"/>
      <c r="CC23" s="1394">
        <v>5110778</v>
      </c>
      <c r="CD23" s="1181" t="s">
        <v>1669</v>
      </c>
    </row>
    <row customHeight="1" ht="21">
      <c r="A24" s="1187" t="s">
        <v>1670</v>
      </c>
      <c r="B24" s="1188">
        <v>2022</v>
      </c>
      <c r="AW24" s="1233" t="s">
        <v>1671</v>
      </c>
      <c r="AX24" s="1233" t="s">
        <v>1671</v>
      </c>
      <c r="AZ24" s="1233" t="s">
        <v>1672</v>
      </c>
      <c r="BB24" s="1233" t="s">
        <v>1673</v>
      </c>
      <c r="BC24" s="1233" t="s">
        <v>1674</v>
      </c>
      <c r="BE24" s="1233">
        <v>2022</v>
      </c>
      <c r="BH24" s="1181" t="s">
        <v>1601</v>
      </c>
      <c r="BJ24" s="1181" t="s">
        <v>1560</v>
      </c>
      <c r="BL24" s="1181" t="s">
        <v>1560</v>
      </c>
      <c r="BQ24" s="1394">
        <v>4190069</v>
      </c>
      <c r="BR24" s="1181" t="s">
        <v>1675</v>
      </c>
      <c r="BS24" s="1542"/>
      <c r="BT24" s="1394">
        <v>4189676</v>
      </c>
      <c r="BU24" s="1181" t="s">
        <v>1676</v>
      </c>
      <c r="BV24" s="1183"/>
      <c r="BW24" s="1183"/>
      <c r="CC24" s="1394">
        <v>25575374</v>
      </c>
      <c r="CD24" s="1181" t="s">
        <v>1677</v>
      </c>
    </row>
    <row customHeight="1" ht="11.25">
      <c r="A25" s="1187" t="s">
        <v>1678</v>
      </c>
      <c r="B25" s="1188">
        <v>2023</v>
      </c>
      <c r="AW25" s="1233" t="s">
        <v>1679</v>
      </c>
      <c r="AX25" s="1233" t="s">
        <v>1679</v>
      </c>
      <c r="AZ25" s="1233" t="s">
        <v>1680</v>
      </c>
      <c r="BB25" s="1233" t="s">
        <v>1681</v>
      </c>
      <c r="BC25" s="1233" t="s">
        <v>1674</v>
      </c>
      <c r="BE25" s="1233">
        <v>2023</v>
      </c>
      <c r="BH25" s="1181" t="s">
        <v>1607</v>
      </c>
      <c r="BJ25" s="1181" t="s">
        <v>1631</v>
      </c>
      <c r="BL25" s="1181" t="s">
        <v>1631</v>
      </c>
      <c r="BQ25" s="1394">
        <v>4190070</v>
      </c>
      <c r="BR25" s="1181" t="s">
        <v>1682</v>
      </c>
      <c r="BS25" s="1542"/>
      <c r="BT25" s="1394">
        <v>4189677</v>
      </c>
      <c r="BU25" s="1181" t="s">
        <v>1683</v>
      </c>
      <c r="BV25" s="1183"/>
      <c r="BW25" s="1183"/>
    </row>
    <row customHeight="1" ht="11.25">
      <c r="A26" s="1187" t="s">
        <v>1684</v>
      </c>
      <c r="B26" s="1188">
        <v>2024</v>
      </c>
      <c r="J26" s="1844" t="s">
        <v>1685</v>
      </c>
      <c r="AX26" s="1233" t="s">
        <v>1686</v>
      </c>
      <c r="AZ26" s="1233" t="s">
        <v>1553</v>
      </c>
      <c r="BB26" s="1233" t="s">
        <v>1687</v>
      </c>
      <c r="BC26" s="1233" t="s">
        <v>1674</v>
      </c>
      <c r="BE26" s="1233">
        <v>2024</v>
      </c>
      <c r="BH26" s="1181" t="s">
        <v>1617</v>
      </c>
      <c r="BJ26" s="1181" t="s">
        <v>1571</v>
      </c>
      <c r="BL26" s="1181" t="s">
        <v>1571</v>
      </c>
      <c r="BQ26" s="1394">
        <v>4190071</v>
      </c>
      <c r="BR26" s="1181" t="s">
        <v>1688</v>
      </c>
      <c r="BS26" s="1542"/>
      <c r="BV26" s="1183"/>
      <c r="BW26" s="1183"/>
    </row>
    <row customHeight="1" ht="11.25">
      <c r="A27" s="1187" t="s">
        <v>1689</v>
      </c>
      <c r="B27" s="1188">
        <v>2025</v>
      </c>
      <c r="J27" s="289" t="s">
        <v>105</v>
      </c>
      <c r="AX27" s="1233" t="s">
        <v>1690</v>
      </c>
      <c r="BB27" s="1233" t="s">
        <v>1691</v>
      </c>
      <c r="BC27" s="1233" t="s">
        <v>1674</v>
      </c>
      <c r="BE27" s="1233">
        <v>2025</v>
      </c>
      <c r="BH27" s="1183" t="s">
        <v>28</v>
      </c>
      <c r="BJ27" s="1181" t="s">
        <v>1578</v>
      </c>
      <c r="BL27" s="1181" t="s">
        <v>1578</v>
      </c>
      <c r="BN27" s="1183" t="s">
        <v>28</v>
      </c>
      <c r="BQ27" s="1394">
        <v>4190072</v>
      </c>
      <c r="BR27" s="1181" t="s">
        <v>1692</v>
      </c>
      <c r="BS27" s="1542"/>
      <c r="BV27" s="1183"/>
      <c r="BW27" s="1183"/>
    </row>
    <row customHeight="1" ht="11.25">
      <c r="A28" s="1187" t="s">
        <v>1693</v>
      </c>
      <c r="D28" s="1214"/>
      <c r="E28" s="1215"/>
      <c r="F28" s="1215"/>
      <c r="H28" s="1216" t="s">
        <v>1694</v>
      </c>
      <c r="AX28" s="1233" t="s">
        <v>1695</v>
      </c>
      <c r="AZ28" s="1180" t="s">
        <v>1696</v>
      </c>
      <c r="BB28" s="1233" t="s">
        <v>1697</v>
      </c>
      <c r="BC28" s="1233" t="s">
        <v>1698</v>
      </c>
      <c r="BE28" s="1233">
        <v>2026</v>
      </c>
      <c r="BH28" s="1183" t="s">
        <v>28</v>
      </c>
      <c r="BJ28" s="1181" t="s">
        <v>1585</v>
      </c>
      <c r="BL28" s="1181" t="s">
        <v>1585</v>
      </c>
      <c r="BN28" s="1183" t="s">
        <v>28</v>
      </c>
      <c r="BQ28" s="1394">
        <v>4190073</v>
      </c>
      <c r="BR28" s="1181" t="s">
        <v>1699</v>
      </c>
      <c r="BS28" s="1542"/>
      <c r="BV28" s="1183"/>
      <c r="BW28" s="1183"/>
    </row>
    <row customHeight="1" ht="11.25">
      <c r="A29" s="1187" t="s">
        <v>1700</v>
      </c>
      <c r="D29" s="1217" t="s">
        <v>1701</v>
      </c>
      <c r="E29" s="1218" t="str">
        <f>IF(TEMPLATE_GROUP="","",INDEX(StartDateList,MATCH(TEMPLATE_GROUP,CodeTemplateList,0),1))</f>
        <v>01.01.2025</v>
      </c>
      <c r="F29" s="1218" t="str">
        <f>IF(TEMPLATE_GROUP="","",INDEX(EndDateList,MATCH(TEMPLATE_GROUP,CodeTemplateList,0),1))</f>
        <v>31.12.2025</v>
      </c>
      <c r="H29" s="1219" t="s">
        <v>1702</v>
      </c>
      <c r="AX29" s="1233" t="s">
        <v>1703</v>
      </c>
      <c r="AZ29" s="1233" t="s">
        <v>1355</v>
      </c>
      <c r="BB29" s="1233" t="s">
        <v>1553</v>
      </c>
      <c r="BC29" s="1204"/>
      <c r="BE29" s="1233">
        <v>2027</v>
      </c>
      <c r="BJ29" s="1181" t="s">
        <v>1593</v>
      </c>
      <c r="BL29" s="1181" t="s">
        <v>1593</v>
      </c>
    </row>
    <row customHeight="1" ht="11.25">
      <c r="A30" s="1187" t="s">
        <v>1704</v>
      </c>
      <c r="D30" s="1220"/>
      <c r="E30" s="1221"/>
      <c r="F30" s="1221"/>
      <c r="AX30" s="1233" t="s">
        <v>1705</v>
      </c>
      <c r="AZ30" s="1233" t="s">
        <v>622</v>
      </c>
      <c r="BE30" s="1233">
        <v>2028</v>
      </c>
      <c r="BJ30" s="1181" t="s">
        <v>1706</v>
      </c>
      <c r="BL30" s="1181" t="s">
        <v>1706</v>
      </c>
    </row>
    <row customHeight="1" ht="12.75">
      <c r="A31" s="1187" t="s">
        <v>1707</v>
      </c>
      <c r="D31" s="1214"/>
      <c r="E31" s="1215"/>
      <c r="F31" s="1215"/>
      <c r="H31" s="1222"/>
      <c r="AX31" s="1233" t="s">
        <v>1708</v>
      </c>
      <c r="AZ31" s="1233" t="s">
        <v>621</v>
      </c>
      <c r="BE31" s="1233">
        <v>2029</v>
      </c>
      <c r="BJ31" s="1181" t="s">
        <v>1709</v>
      </c>
      <c r="BL31" s="1181" t="s">
        <v>1709</v>
      </c>
    </row>
    <row customHeight="1" ht="11.25">
      <c r="A32" s="1187" t="s">
        <v>1710</v>
      </c>
      <c r="D32" s="1217" t="s">
        <v>1711</v>
      </c>
      <c r="E32" s="1218" t="str">
        <f>IF(TEMPLATE_GROUP="","",INDEX(StartDateList,MATCH(TEMPLATE_GROUP,CodeTemplateList,0),1))</f>
        <v>01.01.2025</v>
      </c>
      <c r="F32" s="1218" t="str">
        <f>IF(TEMPLATE_GROUP="","",INDEX(EndDateList,MATCH(TEMPLATE_GROUP,CodeTemplateList,0),1))</f>
        <v>31.12.2025</v>
      </c>
      <c r="H32" s="1223" t="s">
        <v>1712</v>
      </c>
      <c r="O32" s="1187" t="s">
        <v>1352</v>
      </c>
      <c r="AX32" s="1233" t="s">
        <v>1713</v>
      </c>
      <c r="AZ32" s="1233" t="s">
        <v>623</v>
      </c>
      <c r="BE32" s="1233">
        <v>2030</v>
      </c>
      <c r="BJ32" s="1181" t="s">
        <v>1601</v>
      </c>
      <c r="BL32" s="1181" t="s">
        <v>1601</v>
      </c>
    </row>
    <row customHeight="1" ht="11.25">
      <c r="A33" s="1187" t="s">
        <v>16</v>
      </c>
      <c r="O33" s="1187" t="s">
        <v>1378</v>
      </c>
      <c r="AX33" s="1233" t="s">
        <v>1714</v>
      </c>
      <c r="AZ33" s="1233" t="s">
        <v>1354</v>
      </c>
      <c r="BE33" s="1233">
        <v>2031</v>
      </c>
      <c r="BJ33" s="1181" t="s">
        <v>1607</v>
      </c>
      <c r="BL33" s="1181" t="s">
        <v>1607</v>
      </c>
    </row>
    <row customHeight="1" ht="11.25">
      <c r="A34" s="1187" t="s">
        <v>1715</v>
      </c>
      <c r="O34" s="1187" t="s">
        <v>1412</v>
      </c>
      <c r="AX34" s="1233" t="s">
        <v>1716</v>
      </c>
      <c r="BE34" s="1233">
        <v>2032</v>
      </c>
      <c r="BJ34" s="1181" t="s">
        <v>1617</v>
      </c>
      <c r="BL34" s="1181" t="s">
        <v>1617</v>
      </c>
    </row>
    <row customHeight="1" ht="11.25">
      <c r="A35" s="1187" t="s">
        <v>1717</v>
      </c>
      <c r="O35" s="1187" t="s">
        <v>1445</v>
      </c>
      <c r="AX35" s="1233" t="s">
        <v>1718</v>
      </c>
      <c r="AZ35" s="1180" t="s">
        <v>1719</v>
      </c>
      <c r="BE35" s="1233">
        <v>2033</v>
      </c>
      <c r="BL35" s="1181" t="s">
        <v>1720</v>
      </c>
    </row>
    <row customHeight="1" ht="11.25">
      <c r="A36" s="1983" t="s">
        <v>1721</v>
      </c>
      <c r="D36" s="1224" t="s">
        <v>1722</v>
      </c>
      <c r="E36" s="1225" t="s">
        <v>982</v>
      </c>
      <c r="F36" s="1226" t="str">
        <f>INDEX(E37:E41,MATCH(TEMPLATE_SPHERE,F37:F41,0))</f>
        <v>холодного водоснабжения</v>
      </c>
      <c r="G36" s="1226" t="str">
        <f>INDEX(G37:G41,MATCH(TEMPLATE_SPHERE,F37:F41,0))</f>
        <v>холодное водоснабжение</v>
      </c>
      <c r="O36" s="1187" t="s">
        <v>1469</v>
      </c>
      <c r="AX36" s="1233" t="s">
        <v>1723</v>
      </c>
      <c r="AZ36" s="1233" t="s">
        <v>1354</v>
      </c>
      <c r="BE36" s="1233">
        <v>2034</v>
      </c>
      <c r="BL36" s="1181" t="s">
        <v>1724</v>
      </c>
    </row>
    <row customHeight="1" ht="11.25">
      <c r="A37" s="1187" t="s">
        <v>1725</v>
      </c>
      <c r="E37" s="520" t="s">
        <v>1726</v>
      </c>
      <c r="F37" s="1227" t="s">
        <v>936</v>
      </c>
      <c r="G37" s="520" t="s">
        <v>1727</v>
      </c>
      <c r="O37" s="1187" t="s">
        <v>1488</v>
      </c>
      <c r="AX37" s="1233" t="s">
        <v>1728</v>
      </c>
      <c r="AZ37" s="1233" t="s">
        <v>1379</v>
      </c>
      <c r="BE37" s="1233">
        <v>2035</v>
      </c>
    </row>
    <row customHeight="1" ht="11.25">
      <c r="A38" s="1187" t="s">
        <v>1729</v>
      </c>
      <c r="E38" s="520" t="s">
        <v>1730</v>
      </c>
      <c r="F38" s="1228" t="s">
        <v>982</v>
      </c>
      <c r="G38" s="520" t="s">
        <v>1731</v>
      </c>
      <c r="O38" s="1187" t="s">
        <v>1505</v>
      </c>
      <c r="AX38" s="1233" t="s">
        <v>1732</v>
      </c>
      <c r="AZ38" s="1233" t="s">
        <v>1413</v>
      </c>
      <c r="BE38" s="1233">
        <v>2036</v>
      </c>
      <c r="BH38" s="1180" t="s">
        <v>1733</v>
      </c>
      <c r="BJ38" s="1180" t="s">
        <v>1734</v>
      </c>
      <c r="BL38" s="1180" t="s">
        <v>1735</v>
      </c>
      <c r="BN38" s="1180" t="s">
        <v>1736</v>
      </c>
    </row>
    <row customHeight="1" ht="11.25">
      <c r="A39" s="1187" t="s">
        <v>1737</v>
      </c>
      <c r="E39" s="520" t="s">
        <v>1738</v>
      </c>
      <c r="F39" s="1228" t="s">
        <v>1035</v>
      </c>
      <c r="G39" s="520" t="s">
        <v>1739</v>
      </c>
      <c r="O39" s="1187" t="s">
        <v>1521</v>
      </c>
      <c r="AX39" s="1233" t="s">
        <v>1740</v>
      </c>
      <c r="AZ39" s="1233" t="s">
        <v>1446</v>
      </c>
      <c r="BE39" s="1233">
        <v>2037</v>
      </c>
      <c r="BH39" s="1181" t="s">
        <v>1741</v>
      </c>
      <c r="BJ39" s="1330" t="s">
        <v>1741</v>
      </c>
      <c r="BL39" s="1330" t="s">
        <v>1741</v>
      </c>
      <c r="BN39" s="1181" t="s">
        <v>1742</v>
      </c>
    </row>
    <row customHeight="1" ht="11.25">
      <c r="A40" s="1187" t="s">
        <v>1743</v>
      </c>
      <c r="E40" s="520" t="s">
        <v>1744</v>
      </c>
      <c r="F40" s="1228" t="s">
        <v>1022</v>
      </c>
      <c r="G40" s="520" t="s">
        <v>1745</v>
      </c>
      <c r="O40" s="1187" t="s">
        <v>1537</v>
      </c>
      <c r="AX40" s="1233" t="s">
        <v>1746</v>
      </c>
      <c r="BE40" s="1233">
        <v>2038</v>
      </c>
      <c r="BH40" s="1181" t="s">
        <v>1747</v>
      </c>
      <c r="BJ40" s="1330" t="s">
        <v>1155</v>
      </c>
      <c r="BL40" s="1330" t="s">
        <v>1155</v>
      </c>
      <c r="BN40" s="1181" t="s">
        <v>1189</v>
      </c>
    </row>
    <row customHeight="1" ht="11.25">
      <c r="A41" s="1187" t="s">
        <v>1748</v>
      </c>
      <c r="E41" s="520" t="s">
        <v>1749</v>
      </c>
      <c r="F41" s="1228" t="s">
        <v>1750</v>
      </c>
      <c r="G41" s="520" t="s">
        <v>1749</v>
      </c>
      <c r="O41" s="1187" t="s">
        <v>1553</v>
      </c>
      <c r="AX41" s="1233" t="s">
        <v>1751</v>
      </c>
      <c r="AZ41" s="1180" t="s">
        <v>1752</v>
      </c>
      <c r="BE41" s="1233">
        <v>2039</v>
      </c>
      <c r="BH41" s="1181" t="s">
        <v>1753</v>
      </c>
      <c r="BJ41" s="1330" t="s">
        <v>1151</v>
      </c>
      <c r="BL41" s="1330" t="s">
        <v>1151</v>
      </c>
      <c r="BN41" s="1181" t="s">
        <v>1176</v>
      </c>
    </row>
    <row customHeight="1" ht="11.25">
      <c r="A42" s="1187" t="s">
        <v>1754</v>
      </c>
      <c r="AX42" s="1233" t="s">
        <v>1755</v>
      </c>
      <c r="AZ42" s="1233" t="s">
        <v>1352</v>
      </c>
      <c r="BE42" s="1233">
        <v>2040</v>
      </c>
      <c r="BH42" s="1181" t="s">
        <v>1173</v>
      </c>
      <c r="BJ42" s="1330" t="s">
        <v>1153</v>
      </c>
      <c r="BL42" s="1330" t="s">
        <v>1153</v>
      </c>
      <c r="BN42" s="1181" t="s">
        <v>1756</v>
      </c>
    </row>
    <row customHeight="1" ht="11.25">
      <c r="A43" s="1187" t="s">
        <v>1757</v>
      </c>
      <c r="AX43" s="1233" t="s">
        <v>1758</v>
      </c>
      <c r="AZ43" s="1233" t="s">
        <v>1378</v>
      </c>
      <c r="BE43" s="1233">
        <v>2041</v>
      </c>
      <c r="BH43" s="1181" t="s">
        <v>1759</v>
      </c>
      <c r="BJ43" s="1330" t="s">
        <v>1753</v>
      </c>
      <c r="BL43" s="1330" t="s">
        <v>1753</v>
      </c>
      <c r="BN43" s="1181" t="s">
        <v>1760</v>
      </c>
    </row>
    <row customHeight="1" ht="11.25">
      <c r="A44" s="1187" t="s">
        <v>1761</v>
      </c>
      <c r="G44" s="1207">
        <f>YEAR(TODAY())</f>
        <v>2024</v>
      </c>
      <c r="I44" s="912" t="s">
        <v>1762</v>
      </c>
      <c r="J44" s="1202" t="s">
        <v>1763</v>
      </c>
      <c r="K44" s="1202" t="s">
        <v>1764</v>
      </c>
      <c r="AX44" s="1233" t="s">
        <v>1765</v>
      </c>
      <c r="AZ44" s="1233" t="s">
        <v>1412</v>
      </c>
      <c r="BE44" s="1233">
        <v>2042</v>
      </c>
      <c r="BH44" s="1181" t="s">
        <v>1766</v>
      </c>
      <c r="BJ44" s="1330" t="s">
        <v>1173</v>
      </c>
      <c r="BL44" s="1330" t="s">
        <v>1173</v>
      </c>
      <c r="BN44" s="1181" t="s">
        <v>1767</v>
      </c>
    </row>
    <row customHeight="1" ht="11.25">
      <c r="A45" s="1187" t="s">
        <v>1768</v>
      </c>
      <c r="D45" s="1224" t="s">
        <v>1769</v>
      </c>
      <c r="E45" s="1225" t="s">
        <v>1770</v>
      </c>
      <c r="F45" s="910" t="s">
        <v>1771</v>
      </c>
      <c r="G45" s="909" t="s">
        <v>1772</v>
      </c>
      <c r="H45" s="912" t="s">
        <v>1773</v>
      </c>
      <c r="I45" s="1854">
        <f>INDEX(PeriodIsEmptyList,MATCH(TEMPLATE_GROUP,CodeTemplateList,0),1)</f>
        <v>0</v>
      </c>
      <c r="J45" s="1857"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1774</v>
      </c>
      <c r="AZ45" s="1233" t="s">
        <v>1445</v>
      </c>
      <c r="BE45" s="1233">
        <v>2043</v>
      </c>
      <c r="BH45" s="1181" t="s">
        <v>1775</v>
      </c>
      <c r="BJ45" s="1330" t="s">
        <v>1167</v>
      </c>
      <c r="BL45" s="1330" t="s">
        <v>1167</v>
      </c>
      <c r="BN45" s="1181" t="s">
        <v>1776</v>
      </c>
    </row>
    <row customHeight="1" ht="11.25">
      <c r="A46" s="1187" t="s">
        <v>1777</v>
      </c>
      <c r="E46" s="520" t="s">
        <v>26</v>
      </c>
      <c r="F46" s="1227" t="s">
        <v>1778</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(холодного водоснабжения)</v>
      </c>
      <c r="K46" s="1859"/>
      <c r="AX46" s="1233" t="s">
        <v>1779</v>
      </c>
      <c r="AZ46" s="1233" t="s">
        <v>1469</v>
      </c>
      <c r="BE46" s="1233">
        <v>2044</v>
      </c>
      <c r="BH46" s="1181" t="s">
        <v>1176</v>
      </c>
      <c r="BJ46" s="1330" t="s">
        <v>1157</v>
      </c>
      <c r="BL46" s="1330" t="s">
        <v>1157</v>
      </c>
      <c r="BN46" s="1181" t="s">
        <v>1780</v>
      </c>
    </row>
    <row customHeight="1" ht="11.25">
      <c r="A47" s="1187" t="s">
        <v>1781</v>
      </c>
      <c r="E47" s="520" t="s">
        <v>33</v>
      </c>
      <c r="F47" s="1228" t="s">
        <v>1782</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59"/>
      <c r="AX47" s="1233" t="s">
        <v>1783</v>
      </c>
      <c r="AZ47" s="1233" t="s">
        <v>1488</v>
      </c>
      <c r="BE47" s="1233">
        <v>2045</v>
      </c>
      <c r="BH47" s="1181" t="s">
        <v>1756</v>
      </c>
      <c r="BJ47" s="1330" t="s">
        <v>1159</v>
      </c>
      <c r="BL47" s="1330" t="s">
        <v>1159</v>
      </c>
      <c r="BN47" s="1181" t="s">
        <v>1784</v>
      </c>
    </row>
    <row customHeight="1" ht="11.25">
      <c r="A48" s="1187" t="s">
        <v>1785</v>
      </c>
      <c r="E48" s="520" t="s">
        <v>1786</v>
      </c>
      <c r="F48" s="1228" t="s">
        <v>1787</v>
      </c>
      <c r="G48" s="1229" t="str">
        <f>_xlfn.IFERROR(IF(f_year="","01.01."&amp;CURRENT_YEAR,"01.01."&amp;f_year),"01.01."&amp;CURRENT_YEAR)</f>
        <v>01.01.2024</v>
      </c>
      <c r="H48" s="1229" t="str">
        <f>_xlfn.IFERROR(IF(f_year="","31.12."&amp;CURRENT_YEAR,"31.12."&amp;f_year),"31.12."&amp;CURRENT_YEAR)</f>
        <v>31.12.2024</v>
      </c>
      <c r="I48" s="1855">
        <f>IF(f_year="",TRUE,FALSE)</f>
        <v>1</v>
      </c>
      <c r="J48" s="1858" t="s">
        <v>1788</v>
      </c>
      <c r="K48" s="1859"/>
      <c r="AX48" s="1233" t="s">
        <v>1789</v>
      </c>
      <c r="AZ48" s="1233" t="s">
        <v>1505</v>
      </c>
      <c r="BE48" s="1233">
        <v>2046</v>
      </c>
      <c r="BH48" s="1181" t="s">
        <v>1760</v>
      </c>
      <c r="BJ48" s="1330" t="s">
        <v>1161</v>
      </c>
      <c r="BL48" s="1330" t="s">
        <v>1161</v>
      </c>
      <c r="BN48" s="1181" t="s">
        <v>1790</v>
      </c>
    </row>
    <row customHeight="1" ht="11.25">
      <c r="A49" s="1187" t="s">
        <v>1791</v>
      </c>
      <c r="E49" s="520" t="s">
        <v>1792</v>
      </c>
      <c r="F49" s="1228" t="s">
        <v>1793</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59"/>
      <c r="AX49" s="1233" t="s">
        <v>1794</v>
      </c>
      <c r="AZ49" s="1233" t="s">
        <v>1521</v>
      </c>
      <c r="BE49" s="1233">
        <v>2047</v>
      </c>
      <c r="BH49" s="1181" t="s">
        <v>1177</v>
      </c>
      <c r="BJ49" s="1330" t="s">
        <v>1163</v>
      </c>
      <c r="BL49" s="1330" t="s">
        <v>1163</v>
      </c>
    </row>
    <row customHeight="1" ht="11.25">
      <c r="A50" s="1187" t="s">
        <v>1795</v>
      </c>
      <c r="E50" s="520" t="s">
        <v>1796</v>
      </c>
      <c r="F50" s="1228" t="s">
        <v>1147</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59"/>
      <c r="AX50" s="1233" t="s">
        <v>1797</v>
      </c>
      <c r="AZ50" s="1233" t="s">
        <v>1537</v>
      </c>
      <c r="BE50" s="1233">
        <v>2048</v>
      </c>
      <c r="BH50" s="1181" t="s">
        <v>1767</v>
      </c>
      <c r="BJ50" s="1330" t="s">
        <v>1165</v>
      </c>
      <c r="BL50" s="1330" t="s">
        <v>1165</v>
      </c>
    </row>
    <row customHeight="1" ht="11.25">
      <c r="A51" s="1187" t="s">
        <v>1798</v>
      </c>
      <c r="E51" s="520" t="s">
        <v>1799</v>
      </c>
      <c r="F51" s="1228" t="s">
        <v>1770</v>
      </c>
      <c r="G51" s="1229" t="str">
        <f>_xlfn.IFERROR(IF(TITLE_PERIOD_START="","01.01."&amp;CURRENT_YEAR,"01.01."&amp;YEAR(TITLE_PERIOD_START)),"01.01."&amp;CURRENT_YEAR)</f>
        <v>01.01.2025</v>
      </c>
      <c r="H51" s="1229" t="str">
        <f>_xlfn.IFERROR(IF(TITLE_PERIOD_END="","31.12."&amp;CURRENT_YEAR,"31.12."&amp;YEAR(TITLE_PERIOD_END)),"31.12."&amp;CURRENT_YEAR)</f>
        <v>31.12.2025</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1800</v>
      </c>
      <c r="AZ51" s="1233" t="s">
        <v>1553</v>
      </c>
      <c r="BE51" s="1233">
        <v>2049</v>
      </c>
      <c r="BH51" s="1181" t="s">
        <v>1776</v>
      </c>
      <c r="BJ51" s="1330" t="s">
        <v>1801</v>
      </c>
      <c r="BL51" s="1330" t="s">
        <v>1801</v>
      </c>
    </row>
    <row customHeight="1" ht="11.25">
      <c r="A52" s="1187" t="s">
        <v>1802</v>
      </c>
      <c r="E52" s="520" t="s">
        <v>1803</v>
      </c>
      <c r="F52" s="1228" t="s">
        <v>1804</v>
      </c>
      <c r="G52" s="1229" t="str">
        <f>_xlfn.IFERROR(IF(TITLE_PERIOD_START="","01.01."&amp;CURRENT_YEAR,"01.01."&amp;YEAR(TITLE_PERIOD_START)),"01.01."&amp;CURRENT_YEAR)</f>
        <v>01.01.2025</v>
      </c>
      <c r="H52" s="1229" t="str">
        <f>_xlfn.IFERROR(IF(TITLE_PERIOD_END="","31.12."&amp;CURRENT_YEAR,"31.12."&amp;YEAR(TITLE_PERIOD_END)),"31.12."&amp;CURRENT_YEAR)</f>
        <v>31.12.2025</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59"/>
      <c r="AX52" s="1233" t="s">
        <v>1805</v>
      </c>
      <c r="AZ52" s="1233" t="s">
        <v>1354</v>
      </c>
      <c r="BE52" s="1233">
        <v>2050</v>
      </c>
      <c r="BH52" s="1181" t="s">
        <v>1780</v>
      </c>
      <c r="BJ52" s="1330" t="s">
        <v>1176</v>
      </c>
      <c r="BL52" s="1330" t="s">
        <v>1176</v>
      </c>
    </row>
    <row customHeight="1" ht="11.25">
      <c r="A53" s="1187" t="s">
        <v>1806</v>
      </c>
      <c r="E53" s="520" t="s">
        <v>1807</v>
      </c>
      <c r="F53" s="1228" t="s">
        <v>1807</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1808</v>
      </c>
      <c r="K53" s="1859"/>
      <c r="AX53" s="1233" t="s">
        <v>1809</v>
      </c>
      <c r="BE53" s="1233">
        <v>2051</v>
      </c>
      <c r="BH53" s="1181" t="s">
        <v>1784</v>
      </c>
      <c r="BJ53" s="1330" t="s">
        <v>1756</v>
      </c>
      <c r="BL53" s="1330" t="s">
        <v>1756</v>
      </c>
    </row>
    <row customHeight="1" ht="11.25">
      <c r="A54" s="1187" t="s">
        <v>1810</v>
      </c>
      <c r="AX54" s="1233" t="s">
        <v>1811</v>
      </c>
      <c r="AZ54" s="1180" t="s">
        <v>1812</v>
      </c>
      <c r="BE54" s="1233">
        <v>2052</v>
      </c>
      <c r="BH54" s="1181" t="s">
        <v>1790</v>
      </c>
      <c r="BJ54" s="1330" t="s">
        <v>1760</v>
      </c>
      <c r="BL54" s="1330" t="s">
        <v>1760</v>
      </c>
    </row>
    <row customHeight="1" ht="11.25">
      <c r="A55" s="1187" t="s">
        <v>1813</v>
      </c>
      <c r="AX55" s="1233" t="s">
        <v>1814</v>
      </c>
      <c r="AZ55" s="1233" t="s">
        <v>1356</v>
      </c>
      <c r="BE55" s="1233">
        <v>2053</v>
      </c>
      <c r="BH55" s="1183" t="s">
        <v>28</v>
      </c>
      <c r="BJ55" s="1330" t="s">
        <v>1177</v>
      </c>
      <c r="BL55" s="1330" t="s">
        <v>1177</v>
      </c>
    </row>
    <row customHeight="1" ht="11.25">
      <c r="A56" s="1187" t="s">
        <v>1815</v>
      </c>
      <c r="D56" s="1231" t="s">
        <v>1816</v>
      </c>
      <c r="E56" s="1208" t="s">
        <v>1817</v>
      </c>
      <c r="F56" s="1187" t="s">
        <v>1818</v>
      </c>
      <c r="AX56" s="1233" t="s">
        <v>1819</v>
      </c>
      <c r="AZ56" s="1233" t="s">
        <v>1380</v>
      </c>
      <c r="BE56" s="1233">
        <v>2054</v>
      </c>
      <c r="BH56" s="1183" t="s">
        <v>28</v>
      </c>
      <c r="BJ56" s="1330" t="s">
        <v>1767</v>
      </c>
      <c r="BL56" s="1330" t="s">
        <v>1767</v>
      </c>
    </row>
    <row customHeight="1" ht="11.25">
      <c r="A57" s="1187" t="s">
        <v>1820</v>
      </c>
      <c r="D57" s="1231" t="s">
        <v>1821</v>
      </c>
      <c r="E57" s="1208" t="s">
        <v>118</v>
      </c>
      <c r="F57" s="1187" t="s">
        <v>1818</v>
      </c>
      <c r="AX57" s="1233" t="s">
        <v>1822</v>
      </c>
      <c r="AZ57" s="1233" t="s">
        <v>1415</v>
      </c>
      <c r="BE57" s="1233">
        <v>2055</v>
      </c>
      <c r="BJ57" s="1330" t="s">
        <v>1776</v>
      </c>
      <c r="BL57" s="1330" t="s">
        <v>1776</v>
      </c>
    </row>
    <row customHeight="1" ht="11.25">
      <c r="A58" s="1187" t="s">
        <v>1823</v>
      </c>
      <c r="D58" s="1231" t="s">
        <v>1824</v>
      </c>
      <c r="E58" s="1208" t="s">
        <v>118</v>
      </c>
      <c r="F58" s="1187" t="s">
        <v>1818</v>
      </c>
      <c r="AX58" s="1233" t="s">
        <v>1825</v>
      </c>
      <c r="BE58" s="1233">
        <v>2056</v>
      </c>
      <c r="BJ58" s="1330" t="s">
        <v>1780</v>
      </c>
      <c r="BL58" s="1330" t="s">
        <v>1780</v>
      </c>
    </row>
    <row customHeight="1" ht="11.25">
      <c r="A59" s="1187" t="s">
        <v>1826</v>
      </c>
      <c r="D59" s="1231" t="s">
        <v>206</v>
      </c>
      <c r="E59" s="1208" t="s">
        <v>1713</v>
      </c>
      <c r="F59" s="1187" t="s">
        <v>1827</v>
      </c>
      <c r="AX59" s="1233" t="s">
        <v>1828</v>
      </c>
      <c r="AZ59" s="1180" t="s">
        <v>1829</v>
      </c>
      <c r="BE59" s="1233">
        <v>2057</v>
      </c>
      <c r="BJ59" s="1330" t="s">
        <v>1784</v>
      </c>
      <c r="BL59" s="1330" t="s">
        <v>1784</v>
      </c>
    </row>
    <row customHeight="1" ht="11.25">
      <c r="A60" s="1187" t="s">
        <v>1830</v>
      </c>
      <c r="D60" s="1231" t="s">
        <v>1831</v>
      </c>
      <c r="E60" s="1208" t="s">
        <v>1713</v>
      </c>
      <c r="F60" s="1187" t="s">
        <v>1827</v>
      </c>
      <c r="AX60" s="1233" t="s">
        <v>1832</v>
      </c>
      <c r="AZ60" s="1233" t="s">
        <v>1357</v>
      </c>
      <c r="BE60" s="1233">
        <v>2058</v>
      </c>
      <c r="BJ60" s="1330" t="s">
        <v>1790</v>
      </c>
      <c r="BL60" s="1330" t="s">
        <v>1790</v>
      </c>
    </row>
    <row customHeight="1" ht="11.25">
      <c r="A61" s="1187" t="s">
        <v>1833</v>
      </c>
      <c r="D61" s="1231" t="s">
        <v>1834</v>
      </c>
      <c r="E61" s="1208" t="s">
        <v>1713</v>
      </c>
      <c r="F61" s="1187" t="s">
        <v>1827</v>
      </c>
      <c r="AX61" s="1233" t="s">
        <v>1835</v>
      </c>
      <c r="AZ61" s="1233" t="s">
        <v>1381</v>
      </c>
      <c r="BE61" s="1233">
        <v>2059</v>
      </c>
      <c r="BL61" s="1330" t="s">
        <v>1169</v>
      </c>
    </row>
    <row customHeight="1" ht="11.25">
      <c r="A62" s="1187" t="s">
        <v>1836</v>
      </c>
      <c r="D62" s="1231" t="s">
        <v>205</v>
      </c>
      <c r="E62" s="1208">
        <v>46</v>
      </c>
      <c r="F62" s="1187" t="s">
        <v>1827</v>
      </c>
      <c r="AZ62" s="1233" t="s">
        <v>1416</v>
      </c>
      <c r="BE62" s="1233">
        <v>2060</v>
      </c>
      <c r="BL62" s="1330" t="s">
        <v>1171</v>
      </c>
    </row>
    <row customHeight="1" ht="11.25">
      <c r="A63" s="1187" t="s">
        <v>1837</v>
      </c>
      <c r="D63" s="1231" t="s">
        <v>1838</v>
      </c>
      <c r="E63" s="1208">
        <v>48</v>
      </c>
      <c r="F63" s="1187" t="s">
        <v>1827</v>
      </c>
      <c r="AZ63" s="1233" t="s">
        <v>1447</v>
      </c>
      <c r="BE63" s="1233">
        <v>2061</v>
      </c>
    </row>
    <row customHeight="1" ht="11.25">
      <c r="A64" s="1187" t="s">
        <v>1839</v>
      </c>
      <c r="D64" s="1231" t="s">
        <v>1840</v>
      </c>
      <c r="E64" s="1208">
        <v>48</v>
      </c>
      <c r="F64" s="1187" t="s">
        <v>1827</v>
      </c>
      <c r="AZ64" s="1233" t="s">
        <v>1470</v>
      </c>
      <c r="BE64" s="1233">
        <v>2062</v>
      </c>
    </row>
    <row customHeight="1" ht="11.25">
      <c r="A65" s="1187" t="s">
        <v>1841</v>
      </c>
      <c r="D65" s="1187"/>
      <c r="BE65" s="1233">
        <v>2063</v>
      </c>
    </row>
    <row customHeight="1" ht="11.25">
      <c r="A66" s="1187" t="s">
        <v>1842</v>
      </c>
      <c r="AZ66" s="1180" t="s">
        <v>1843</v>
      </c>
      <c r="BE66" s="1233">
        <v>2064</v>
      </c>
    </row>
    <row customHeight="1" ht="11.25">
      <c r="A67" s="1187" t="s">
        <v>1844</v>
      </c>
      <c r="AZ67" s="1233" t="s">
        <v>1358</v>
      </c>
      <c r="BE67" s="1233">
        <v>2065</v>
      </c>
    </row>
    <row customHeight="1" ht="11.25">
      <c r="A68" s="1187" t="s">
        <v>1845</v>
      </c>
      <c r="AZ68" s="1233" t="s">
        <v>1382</v>
      </c>
      <c r="BE68" s="1233">
        <v>2066</v>
      </c>
      <c r="BH68" s="1180" t="s">
        <v>1846</v>
      </c>
      <c r="BJ68" s="1180" t="s">
        <v>1847</v>
      </c>
      <c r="BL68" s="1180" t="s">
        <v>1848</v>
      </c>
      <c r="BN68" s="1180" t="s">
        <v>1849</v>
      </c>
    </row>
    <row customHeight="1" ht="11.25">
      <c r="A69" s="1187" t="s">
        <v>1850</v>
      </c>
      <c r="AZ69" s="1233" t="s">
        <v>1417</v>
      </c>
      <c r="BE69" s="1233">
        <v>2067</v>
      </c>
      <c r="BH69" s="1181" t="s">
        <v>1851</v>
      </c>
      <c r="BI69" s="1230" t="s">
        <v>187</v>
      </c>
      <c r="BJ69" s="1181" t="s">
        <v>1852</v>
      </c>
      <c r="BK69" s="1230" t="s">
        <v>187</v>
      </c>
      <c r="BL69" s="1181" t="s">
        <v>1853</v>
      </c>
      <c r="BM69" s="1183" t="s">
        <v>187</v>
      </c>
      <c r="BN69" s="1181" t="s">
        <v>1854</v>
      </c>
    </row>
    <row customHeight="1" ht="11.25">
      <c r="A70" s="1187" t="s">
        <v>1855</v>
      </c>
      <c r="AZ70" s="1233" t="s">
        <v>1448</v>
      </c>
      <c r="BE70" s="1233">
        <v>2068</v>
      </c>
      <c r="BH70" s="1181" t="s">
        <v>1856</v>
      </c>
      <c r="BJ70" s="1181" t="s">
        <v>1857</v>
      </c>
      <c r="BL70" s="1181" t="s">
        <v>1858</v>
      </c>
      <c r="BN70" s="1181" t="s">
        <v>1859</v>
      </c>
    </row>
    <row customHeight="1" ht="11.25">
      <c r="A71" s="1187" t="s">
        <v>1860</v>
      </c>
      <c r="AZ71" s="1233" t="s">
        <v>1450</v>
      </c>
      <c r="BE71" s="1233">
        <v>2069</v>
      </c>
      <c r="BH71" s="1181" t="s">
        <v>1861</v>
      </c>
      <c r="BI71" s="1230" t="s">
        <v>90</v>
      </c>
      <c r="BJ71" s="1181" t="s">
        <v>1862</v>
      </c>
      <c r="BK71" s="1230" t="s">
        <v>90</v>
      </c>
      <c r="BL71" s="1181" t="s">
        <v>1863</v>
      </c>
      <c r="BM71" s="1183" t="s">
        <v>90</v>
      </c>
      <c r="BN71" s="1181" t="s">
        <v>1864</v>
      </c>
    </row>
    <row customHeight="1" ht="11.25">
      <c r="A72" s="1187" t="s">
        <v>1865</v>
      </c>
      <c r="AZ72" s="1233" t="s">
        <v>19</v>
      </c>
      <c r="BE72" s="1233">
        <v>2070</v>
      </c>
      <c r="BH72" s="1181" t="s">
        <v>1866</v>
      </c>
      <c r="BJ72" s="1181" t="s">
        <v>1866</v>
      </c>
      <c r="BL72" s="1181" t="s">
        <v>1866</v>
      </c>
      <c r="BN72" s="1181" t="s">
        <v>1867</v>
      </c>
    </row>
    <row customHeight="1" ht="11.25">
      <c r="A73" s="1187" t="s">
        <v>1868</v>
      </c>
      <c r="BH73" s="1181" t="s">
        <v>1869</v>
      </c>
      <c r="BI73" s="1230" t="s">
        <v>118</v>
      </c>
      <c r="BJ73" s="1181" t="s">
        <v>1870</v>
      </c>
      <c r="BK73" s="1230" t="s">
        <v>118</v>
      </c>
      <c r="BL73" s="1181" t="s">
        <v>1871</v>
      </c>
      <c r="BM73" s="1183" t="s">
        <v>118</v>
      </c>
      <c r="BN73" s="1181" t="s">
        <v>1872</v>
      </c>
    </row>
    <row customHeight="1" ht="11.25">
      <c r="A74" s="1187" t="s">
        <v>1873</v>
      </c>
      <c r="BH74" s="1181" t="s">
        <v>1874</v>
      </c>
      <c r="BJ74" s="1181" t="s">
        <v>1875</v>
      </c>
      <c r="BL74" s="1181" t="s">
        <v>1876</v>
      </c>
      <c r="BN74" s="1181" t="s">
        <v>1877</v>
      </c>
    </row>
    <row customHeight="1" ht="11.25">
      <c r="A75" s="1187" t="s">
        <v>1878</v>
      </c>
      <c r="AZ75" s="1180" t="s">
        <v>1879</v>
      </c>
      <c r="BH75" s="1181" t="s">
        <v>1880</v>
      </c>
      <c r="BJ75" s="1181" t="s">
        <v>1880</v>
      </c>
      <c r="BL75" s="1181" t="s">
        <v>1880</v>
      </c>
    </row>
    <row customHeight="1" ht="11.25">
      <c r="A76" s="1187" t="s">
        <v>1881</v>
      </c>
      <c r="AZ76" s="1233" t="s">
        <v>1367</v>
      </c>
      <c r="BH76" s="1181" t="s">
        <v>1882</v>
      </c>
      <c r="BJ76" s="1181" t="s">
        <v>1883</v>
      </c>
      <c r="BL76" s="1181" t="s">
        <v>1884</v>
      </c>
    </row>
    <row customHeight="1" ht="11.25">
      <c r="A77" s="1187" t="s">
        <v>1885</v>
      </c>
      <c r="AZ77" s="1233" t="s">
        <v>1392</v>
      </c>
    </row>
    <row customHeight="1" ht="11.25">
      <c r="A78" s="1187" t="s">
        <v>1886</v>
      </c>
      <c r="AZ78" s="1233" t="s">
        <v>1424</v>
      </c>
    </row>
    <row customHeight="1" ht="11.25">
      <c r="A79" s="1187" t="s">
        <v>1887</v>
      </c>
      <c r="AZ79" s="1233" t="s">
        <v>1454</v>
      </c>
      <c r="BH79" s="1180" t="s">
        <v>1888</v>
      </c>
      <c r="BJ79" s="1180" t="s">
        <v>1889</v>
      </c>
      <c r="BL79" s="1180" t="s">
        <v>1890</v>
      </c>
    </row>
    <row customHeight="1" ht="11.25">
      <c r="A80" s="1187" t="s">
        <v>1891</v>
      </c>
      <c r="AZ80" s="1233" t="s">
        <v>1475</v>
      </c>
      <c r="BH80" s="1181" t="s">
        <v>1892</v>
      </c>
      <c r="BJ80" s="1181" t="s">
        <v>1893</v>
      </c>
      <c r="BL80" s="1181" t="s">
        <v>1894</v>
      </c>
    </row>
    <row customHeight="1" ht="11.25">
      <c r="A81" s="1187" t="s">
        <v>1895</v>
      </c>
      <c r="AZ81" s="1233" t="s">
        <v>1492</v>
      </c>
      <c r="BH81" s="1181" t="s">
        <v>1896</v>
      </c>
      <c r="BJ81" s="1181" t="s">
        <v>1897</v>
      </c>
      <c r="BL81" s="1181" t="s">
        <v>1898</v>
      </c>
    </row>
    <row customHeight="1" ht="11.25">
      <c r="A82" s="1187" t="s">
        <v>1899</v>
      </c>
      <c r="AZ82" s="1233" t="s">
        <v>1507</v>
      </c>
      <c r="BH82" s="1181" t="s">
        <v>1900</v>
      </c>
      <c r="BJ82" s="1181" t="s">
        <v>1901</v>
      </c>
      <c r="BL82" s="1181" t="s">
        <v>1902</v>
      </c>
    </row>
    <row customHeight="1" ht="11.25">
      <c r="A83" s="1187" t="s">
        <v>1903</v>
      </c>
      <c r="BH83" s="1181" t="s">
        <v>1904</v>
      </c>
      <c r="BJ83" s="1181" t="s">
        <v>1905</v>
      </c>
      <c r="BL83" s="1181" t="s">
        <v>1906</v>
      </c>
    </row>
    <row customHeight="1" ht="11.25">
      <c r="A84" s="1187" t="s">
        <v>1907</v>
      </c>
      <c r="AZ84" s="1180" t="s">
        <v>1908</v>
      </c>
    </row>
    <row customHeight="1" ht="11.25">
      <c r="A85" s="1983" t="s">
        <v>1909</v>
      </c>
      <c r="AZ85" s="1233" t="s">
        <v>1910</v>
      </c>
    </row>
    <row customHeight="1" ht="11.25">
      <c r="A86" s="1187" t="s">
        <v>1911</v>
      </c>
      <c r="AZ86" s="1233" t="s">
        <v>1912</v>
      </c>
      <c r="BH86" s="1180" t="s">
        <v>1913</v>
      </c>
      <c r="BJ86" s="1180" t="s">
        <v>1914</v>
      </c>
      <c r="BL86" s="1180" t="s">
        <v>1915</v>
      </c>
    </row>
    <row customHeight="1" ht="11.25">
      <c r="A87" s="1187" t="s">
        <v>1916</v>
      </c>
      <c r="AZ87" s="1233" t="s">
        <v>1917</v>
      </c>
      <c r="BH87" s="1181" t="s">
        <v>1918</v>
      </c>
      <c r="BJ87" s="1181" t="s">
        <v>1919</v>
      </c>
      <c r="BL87" s="1181" t="s">
        <v>1920</v>
      </c>
    </row>
    <row customHeight="1" ht="11.25">
      <c r="A88" s="1187" t="s">
        <v>1921</v>
      </c>
      <c r="AZ88" s="1719"/>
      <c r="BH88" s="1181" t="s">
        <v>1922</v>
      </c>
      <c r="BJ88" s="1181" t="s">
        <v>1923</v>
      </c>
      <c r="BL88" s="1181" t="s">
        <v>1924</v>
      </c>
    </row>
    <row customHeight="1" ht="11.25">
      <c r="A89" s="1187" t="s">
        <v>1925</v>
      </c>
      <c r="AZ89" s="1180" t="s">
        <v>1926</v>
      </c>
    </row>
    <row customHeight="1" ht="11.25">
      <c r="A90" s="1187" t="s">
        <v>1927</v>
      </c>
      <c r="AZ90" s="1233" t="s">
        <v>1147</v>
      </c>
    </row>
    <row customHeight="1" ht="11.25">
      <c r="A91" s="1187" t="s">
        <v>1928</v>
      </c>
      <c r="AZ91" s="1233" t="s">
        <v>1183</v>
      </c>
      <c r="BH91" s="1180" t="s">
        <v>1929</v>
      </c>
      <c r="BJ91" s="1180" t="s">
        <v>1930</v>
      </c>
      <c r="BL91" s="1180" t="s">
        <v>1931</v>
      </c>
    </row>
    <row customHeight="1" ht="11.25">
      <c r="AZ92" s="1233" t="s">
        <v>1932</v>
      </c>
      <c r="BH92" s="1181" t="s">
        <v>1933</v>
      </c>
      <c r="BJ92" s="1181" t="s">
        <v>1934</v>
      </c>
      <c r="BL92" s="1181" t="s">
        <v>1935</v>
      </c>
    </row>
    <row customHeight="1" ht="11.25">
      <c r="AZ93" s="1233" t="s">
        <v>1936</v>
      </c>
      <c r="BH93" s="1181" t="s">
        <v>1937</v>
      </c>
      <c r="BJ93" s="1181" t="s">
        <v>1938</v>
      </c>
      <c r="BL93" s="1181" t="s">
        <v>1939</v>
      </c>
    </row>
    <row customHeight="1" ht="11.25">
      <c r="AZ94" s="1233" t="s">
        <v>1940</v>
      </c>
    </row>
    <row r="96" customHeight="1" ht="11.25">
      <c r="AZ96" s="1180" t="s">
        <v>1941</v>
      </c>
      <c r="BH96" s="1180" t="s">
        <v>1942</v>
      </c>
      <c r="BJ96" s="1180" t="s">
        <v>1943</v>
      </c>
      <c r="BL96" s="1180" t="s">
        <v>1944</v>
      </c>
      <c r="BN96" s="1180" t="s">
        <v>1945</v>
      </c>
    </row>
    <row customHeight="1" ht="11.25">
      <c r="AZ97" s="2014" t="s">
        <v>1946</v>
      </c>
      <c r="BA97" s="2015" t="s">
        <v>1947</v>
      </c>
      <c r="BH97" s="1181" t="s">
        <v>1948</v>
      </c>
      <c r="BJ97" s="1181" t="s">
        <v>1949</v>
      </c>
      <c r="BL97" s="1181" t="s">
        <v>1950</v>
      </c>
      <c r="BN97" s="1181" t="s">
        <v>1951</v>
      </c>
    </row>
    <row customHeight="1" ht="11.25">
      <c r="AZ98" s="2014" t="s">
        <v>1952</v>
      </c>
      <c r="BA98" s="2015" t="s">
        <v>1953</v>
      </c>
      <c r="BH98" s="1181" t="s">
        <v>1954</v>
      </c>
      <c r="BJ98" s="1181" t="s">
        <v>1955</v>
      </c>
      <c r="BL98" s="1181" t="s">
        <v>1956</v>
      </c>
      <c r="BN98" s="1181" t="s">
        <v>1957</v>
      </c>
    </row>
    <row customHeight="1" ht="22.5">
      <c r="AZ99" s="2014" t="s">
        <v>1958</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1959</v>
      </c>
      <c r="BJ99" s="1181" t="s">
        <v>1960</v>
      </c>
      <c r="BL99" s="1181" t="s">
        <v>1961</v>
      </c>
      <c r="BN99" s="1181" t="s">
        <v>1962</v>
      </c>
    </row>
    <row customHeight="1" ht="22.5">
      <c r="AZ100" s="2014" t="s">
        <v>1963</v>
      </c>
      <c r="BA100"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81" t="s">
        <v>1553</v>
      </c>
      <c r="BL100" s="1181" t="s">
        <v>1553</v>
      </c>
      <c r="BN100" s="1181" t="s">
        <v>1964</v>
      </c>
    </row>
    <row customHeight="1" ht="22.5">
      <c r="AZ101" s="2014" t="s">
        <v>1965</v>
      </c>
      <c r="BA101" s="2015" t="s">
        <v>1966</v>
      </c>
      <c r="BN101" s="1181" t="s">
        <v>1967</v>
      </c>
    </row>
    <row customHeight="1" ht="22.5">
      <c r="AZ102" s="2014" t="s">
        <v>1968</v>
      </c>
      <c r="BA102"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81" t="s">
        <v>1969</v>
      </c>
    </row>
    <row customHeight="1" ht="11.25">
      <c r="AZ103" s="2014" t="s">
        <v>1970</v>
      </c>
      <c r="BA103" s="2015" t="s">
        <v>1971</v>
      </c>
      <c r="BN103" s="1181" t="s">
        <v>1972</v>
      </c>
    </row>
    <row customHeight="1" ht="11.25">
      <c r="BN104" s="1181" t="s">
        <v>1973</v>
      </c>
    </row>
    <row customHeight="1" ht="11.25">
      <c r="AZ105" s="1805" t="s">
        <v>1974</v>
      </c>
    </row>
    <row customHeight="1" ht="11.25">
      <c r="AZ106" s="1233" t="s">
        <v>1975</v>
      </c>
    </row>
    <row customHeight="1" ht="11.25">
      <c r="AZ107" s="1233" t="s">
        <v>1976</v>
      </c>
      <c r="BH107" s="1180" t="s">
        <v>1977</v>
      </c>
      <c r="BJ107" s="1180" t="s">
        <v>1978</v>
      </c>
      <c r="BL107" s="1180" t="s">
        <v>1979</v>
      </c>
      <c r="BN107" s="1180" t="s">
        <v>1980</v>
      </c>
    </row>
    <row customHeight="1" ht="11.25">
      <c r="AZ108" s="1233" t="s">
        <v>700</v>
      </c>
      <c r="BH108" s="1181" t="s">
        <v>1981</v>
      </c>
      <c r="BJ108" s="1181" t="s">
        <v>1982</v>
      </c>
      <c r="BL108" s="1181" t="s">
        <v>1636</v>
      </c>
      <c r="BN108" s="1181" t="s">
        <v>1983</v>
      </c>
    </row>
    <row customHeight="1" ht="11.25">
      <c r="BH109" s="1181" t="s">
        <v>1984</v>
      </c>
    </row>
    <row customHeight="1" ht="11.25">
      <c r="AZ110" s="1805" t="s">
        <v>1985</v>
      </c>
      <c r="BH110" s="1181" t="s">
        <v>1984</v>
      </c>
    </row>
    <row customHeight="1" ht="11.25">
      <c r="AZ111" s="2014" t="s">
        <v>1946</v>
      </c>
      <c r="BA111" s="2015" t="s">
        <v>1947</v>
      </c>
    </row>
    <row customHeight="1" ht="11.25">
      <c r="AZ112" s="2014" t="s">
        <v>1952</v>
      </c>
      <c r="BA112" s="2015" t="s">
        <v>1953</v>
      </c>
    </row>
    <row customHeight="1" ht="22.5">
      <c r="AZ113" s="2014" t="s">
        <v>1958</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1963</v>
      </c>
      <c r="BA114"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0" t="s">
        <v>1986</v>
      </c>
    </row>
    <row customHeight="1" ht="22.5">
      <c r="AZ115" s="2014" t="s">
        <v>1968</v>
      </c>
      <c r="BA115"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81" t="s">
        <v>1354</v>
      </c>
    </row>
    <row customHeight="1" ht="11.25">
      <c r="AZ116" s="2014" t="s">
        <v>1970</v>
      </c>
      <c r="BA116" s="2015" t="s">
        <v>1971</v>
      </c>
      <c r="BH116" s="1181" t="s">
        <v>1379</v>
      </c>
    </row>
    <row customHeight="1" ht="11.25">
      <c r="BH117" s="1181" t="s">
        <v>1413</v>
      </c>
    </row>
    <row customHeight="1" ht="11.25">
      <c r="BH118" s="1181" t="s">
        <v>1446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7AAA5B-9DE8-F694-859C-47FA679BF1EB}" mc:Ignorable="x14ac xr xr2 xr3">
  <dimension ref="A1:J25"/>
  <sheetViews>
    <sheetView topLeftCell="A1" showGridLines="0" zoomScale="90" workbookViewId="0">
      <selection activeCell="A1" sqref="A1"/>
    </sheetView>
  </sheetViews>
  <sheetFormatPr defaultColWidth="9.140625" customHeight="1" defaultRowHeight="11.25"/>
  <cols>
    <col min="1" max="2" style="8874" width="15.00390625" hidden="1" customWidth="1"/>
    <col min="3" max="3" style="8918" width="3.00390625" customWidth="1"/>
    <col min="4" max="4" style="8919" width="6.00390625" customWidth="1"/>
    <col min="5" max="5" style="8918" width="52.00390625" customWidth="1"/>
    <col min="6" max="6" style="8918" width="48.00390625" customWidth="1"/>
    <col min="7" max="7" style="8918" width="93.00390625" customWidth="1"/>
    <col min="8" max="8" style="8918" width="8.00390625" customWidth="1"/>
    <col min="9" max="9" style="8918" width="64.00390625" customWidth="1"/>
    <col min="10" max="10" style="8918" width="9.140625" hidden="1"/>
  </cols>
  <sheetData>
    <row customHeight="1" ht="11.25" hidden="1">
      <c r="A1" s="614" t="s">
        <v>427</v>
      </c>
      <c r="J1" s="568" t="s">
        <v>14</v>
      </c>
    </row>
    <row customHeight="1" ht="22.5" hidden="1">
      <c r="A2" s="615"/>
      <c r="B2" s="615"/>
      <c r="C2" s="1843" t="s">
        <v>105</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52"/>
      <c r="F5" s="2353"/>
      <c r="I5" s="828"/>
      <c r="J5" s="568">
        <v>26</v>
      </c>
    </row>
    <row customHeight="1" ht="18">
      <c r="D6" s="2289" t="str">
        <f>IF(region_name=0,"Не определено",region_name)</f>
        <v>Курская область</v>
      </c>
      <c r="E6" s="2289"/>
      <c r="F6" s="2289"/>
      <c r="I6" s="828"/>
      <c r="J6" s="568">
        <v>17</v>
      </c>
    </row>
    <row s="8832"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428</v>
      </c>
      <c r="E9" s="2318"/>
      <c r="F9" s="2318"/>
      <c r="G9" s="2321" t="s">
        <v>429</v>
      </c>
      <c r="J9" s="568">
        <v>11</v>
      </c>
    </row>
    <row customHeight="1" ht="11.549999999999999">
      <c r="A10" s="615"/>
      <c r="B10" s="615"/>
      <c r="C10" s="570"/>
      <c r="D10" s="1587" t="s">
        <v>88</v>
      </c>
      <c r="E10" s="1589" t="s">
        <v>430</v>
      </c>
      <c r="F10" s="1589" t="s">
        <v>431</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21" t="str">
        <f>IF(org="","",org)</f>
        <v>МУП ЖКХ "Родник"</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46"/>
      <c r="J12" s="568">
        <v>23</v>
      </c>
    </row>
    <row customHeight="1" ht="19.95">
      <c r="A13" s="615"/>
      <c r="B13" s="615"/>
      <c r="C13" s="570"/>
      <c r="D13" s="1633">
        <v>2</v>
      </c>
      <c r="E13" s="1640" t="s">
        <v>1987</v>
      </c>
      <c r="F13" s="1634" t="s">
        <v>434</v>
      </c>
      <c r="G13" s="587"/>
      <c r="H13" s="1646"/>
      <c r="J13" s="568">
        <v>19</v>
      </c>
    </row>
    <row customHeight="1" ht="19.95">
      <c r="A14" s="615"/>
      <c r="B14" s="615"/>
      <c r="C14" s="570"/>
      <c r="D14" s="1636" t="s">
        <v>837</v>
      </c>
      <c r="E14" s="1637" t="s">
        <v>1988</v>
      </c>
      <c r="F14" s="1639"/>
      <c r="G14" s="1638" t="s">
        <v>1989</v>
      </c>
      <c r="H14" s="1646"/>
      <c r="J14" s="568">
        <v>19</v>
      </c>
    </row>
    <row customHeight="1" ht="19.95">
      <c r="A15" s="615"/>
      <c r="B15" s="615"/>
      <c r="C15" s="570"/>
      <c r="D15" s="1636" t="s">
        <v>435</v>
      </c>
      <c r="E15" s="1637" t="s">
        <v>1990</v>
      </c>
      <c r="F15" s="1639"/>
      <c r="G15" s="1638" t="s">
        <v>1991</v>
      </c>
      <c r="H15" s="1646"/>
      <c r="J15" s="568">
        <v>19</v>
      </c>
    </row>
    <row customHeight="1" ht="24">
      <c r="A16" s="615"/>
      <c r="B16" s="615"/>
      <c r="C16" s="570"/>
      <c r="D16" s="1636" t="s">
        <v>438</v>
      </c>
      <c r="E16" s="1635" t="s">
        <v>1992</v>
      </c>
      <c r="F16" s="1644"/>
      <c r="G16" s="587" t="s">
        <v>1993</v>
      </c>
      <c r="H16" s="1646"/>
      <c r="J16" s="568">
        <v>23</v>
      </c>
    </row>
    <row customHeight="1" ht="48.29999999999999">
      <c r="A17" s="615"/>
      <c r="B17" s="615"/>
      <c r="C17" s="570"/>
      <c r="D17" s="1633">
        <v>3</v>
      </c>
      <c r="E17" s="1640" t="s">
        <v>1994</v>
      </c>
      <c r="F17" s="1639"/>
      <c r="G17" s="587" t="s">
        <v>1995</v>
      </c>
      <c r="H17" s="1646"/>
      <c r="J17" s="568">
        <v>46</v>
      </c>
    </row>
    <row customHeight="1" ht="48.29999999999999">
      <c r="A18" s="1588">
        <v>1</v>
      </c>
      <c r="B18" s="615"/>
      <c r="C18" s="1590"/>
      <c r="D18" s="1633" t="s">
        <v>91</v>
      </c>
      <c r="E18" s="1640" t="s">
        <v>1996</v>
      </c>
      <c r="F18" s="1639"/>
      <c r="G18" s="587" t="s">
        <v>1995</v>
      </c>
      <c r="H18" s="1646"/>
      <c r="I18" s="965"/>
      <c r="J18" s="568">
        <v>46</v>
      </c>
    </row>
    <row customHeight="1" ht="23.25">
      <c r="A19" s="615"/>
      <c r="B19" s="615"/>
      <c r="C19" s="570"/>
      <c r="D19" s="1633" t="s">
        <v>118</v>
      </c>
      <c r="E19" s="1640" t="s">
        <v>1997</v>
      </c>
      <c r="F19" s="1634" t="s">
        <v>434</v>
      </c>
      <c r="G19" s="2584" t="s">
        <v>1998</v>
      </c>
      <c r="H19" s="588"/>
      <c r="J19" s="568">
        <v>22</v>
      </c>
    </row>
    <row s="13143" customFormat="1" customHeight="1" ht="5.25" hidden="1">
      <c r="A20" s="615"/>
      <c r="B20" s="615"/>
      <c r="C20" s="1642"/>
      <c r="D20" s="1641" t="s">
        <v>1244</v>
      </c>
      <c r="E20" s="1127"/>
      <c r="F20" s="1126"/>
      <c r="G20" s="2585"/>
      <c r="J20" s="1643">
        <v>0</v>
      </c>
    </row>
    <row customHeight="1" ht="15.75">
      <c r="A21" s="615"/>
      <c r="B21" s="615"/>
      <c r="C21" s="570"/>
      <c r="D21" s="580"/>
      <c r="E21" s="528" t="s">
        <v>467</v>
      </c>
      <c r="F21" s="582"/>
      <c r="G21" s="2586"/>
      <c r="H21" s="1646"/>
      <c r="J21" s="568">
        <v>15</v>
      </c>
    </row>
    <row s="8874" customFormat="1" customHeight="1" ht="26.25">
      <c r="A22" s="615"/>
      <c r="B22" s="615"/>
      <c r="C22" s="615"/>
      <c r="D22" s="1633" t="s">
        <v>92</v>
      </c>
      <c r="E22" s="587" t="s">
        <v>1999</v>
      </c>
      <c r="F22" s="1639"/>
      <c r="G22" s="587" t="s">
        <v>2000</v>
      </c>
      <c r="H22" s="1645"/>
      <c r="J22" s="614">
        <v>25</v>
      </c>
    </row>
    <row s="8874" customFormat="1" customHeight="1" ht="19.95">
      <c r="A23" s="615"/>
      <c r="B23" s="615"/>
      <c r="C23" s="615"/>
      <c r="D23" s="1633" t="s">
        <v>93</v>
      </c>
      <c r="E23" s="1640" t="s">
        <v>2001</v>
      </c>
      <c r="F23" s="1644"/>
      <c r="G23" s="587" t="s">
        <v>2002</v>
      </c>
      <c r="H23" s="1645"/>
      <c r="J23" s="614">
        <v>19</v>
      </c>
    </row>
    <row s="8874" customFormat="1" customHeight="1" ht="144" hidden="1">
      <c r="A24" s="615"/>
      <c r="B24" s="615"/>
      <c r="C24" s="615"/>
      <c r="D24" s="1633" t="s">
        <v>131</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45"/>
      <c r="J24" s="614">
        <v>0</v>
      </c>
    </row>
    <row customHeight="1" ht="11.25" hidden="1">
      <c r="A25" s="614" t="s">
        <v>82</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5A936-E51B-7D8B-5B02-F9FFC0264632}" mc:Ignorable="x14ac xr xr2 xr3">
  <dimension ref="A1:IU24"/>
  <sheetViews>
    <sheetView topLeftCell="A1" showGridLines="0" zoomScale="90" workbookViewId="0">
      <selection activeCell="A1" sqref="A1"/>
    </sheetView>
  </sheetViews>
  <sheetFormatPr defaultColWidth="9.140625" customHeight="1" defaultRowHeight="14.25"/>
  <cols>
    <col min="1" max="1" style="8273" width="9.140625" hidden="1"/>
    <col min="2" max="2" style="8354" width="9.140625" hidden="1"/>
    <col min="3" max="3" style="8273" width="3.7109375" hidden="1" customWidth="1"/>
    <col min="4" max="4" style="8453" width="3.00390625" customWidth="1"/>
    <col min="5" max="5" style="8273" width="6.00390625" customWidth="1"/>
    <col min="6" max="6" style="8273" width="46.00390625" customWidth="1"/>
    <col min="7" max="8" style="8273" width="16.00390625" customWidth="1"/>
    <col min="9" max="9" style="8273" width="35.00390625" customWidth="1"/>
    <col min="10" max="10" style="8273" width="89.00390625" customWidth="1"/>
    <col min="11" max="11" style="8454" width="3.00390625" customWidth="1"/>
    <col min="12" max="14" style="8454" width="8.00390625" customWidth="1"/>
    <col min="15" max="15" style="8454" width="25.00390625" customWidth="1"/>
    <col min="16" max="16" style="8454" width="14.00390625" customWidth="1"/>
    <col min="17" max="20" style="8455" width="8.00390625" customWidth="1"/>
    <col min="21" max="254" style="8273" width="8.00390625" customWidth="1"/>
    <col min="255" max="255" style="8273" width="9.140625" hidden="1"/>
  </cols>
  <sheetData>
    <row customHeight="1" ht="22.5" hidden="1">
      <c r="F1" s="1744" t="s">
        <v>2003</v>
      </c>
      <c r="G1" s="1744" t="s">
        <v>49</v>
      </c>
      <c r="H1" s="1744" t="s">
        <v>51</v>
      </c>
      <c r="IU1" s="1268" t="s">
        <v>14</v>
      </c>
    </row>
    <row s="8415" customFormat="1" customHeight="1" ht="22.5" hidden="1">
      <c r="A2" s="944"/>
      <c r="B2" s="1273">
        <v>1</v>
      </c>
      <c r="C2" s="1273"/>
      <c r="D2" s="2041" t="s">
        <v>105</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8355" customFormat="1" customHeight="1" ht="4.2">
      <c r="A3" s="609"/>
      <c r="D3" s="607"/>
      <c r="F3" s="360" t="s">
        <v>83</v>
      </c>
      <c r="G3" s="607" t="s">
        <v>84</v>
      </c>
      <c r="H3" s="607"/>
      <c r="I3" s="607"/>
      <c r="J3" s="340" t="s">
        <v>85</v>
      </c>
      <c r="K3" s="360" t="s">
        <v>83</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8370"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8370"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13"/>
      <c r="G5" s="2213"/>
      <c r="H5" s="2213"/>
      <c r="I5" s="2213"/>
      <c r="J5" s="2213"/>
      <c r="K5" s="360"/>
      <c r="L5" s="613"/>
      <c r="M5" s="613"/>
      <c r="N5" s="613"/>
      <c r="O5" s="339"/>
      <c r="P5" s="613"/>
      <c r="Q5" s="338"/>
      <c r="R5" s="338"/>
      <c r="S5" s="338"/>
      <c r="T5" s="338"/>
      <c r="IU5" s="620">
        <v>26</v>
      </c>
    </row>
    <row s="8370"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8370" customFormat="1" customHeight="1" ht="14.699999999999998">
      <c r="A7" s="1268"/>
      <c r="B7" s="1273"/>
      <c r="C7" s="1268"/>
      <c r="D7" s="1608"/>
      <c r="E7" s="2214" t="s">
        <v>428</v>
      </c>
      <c r="F7" s="2215"/>
      <c r="G7" s="2215"/>
      <c r="H7" s="2215"/>
      <c r="I7" s="2215"/>
      <c r="J7" s="2587" t="s">
        <v>429</v>
      </c>
      <c r="K7" s="613"/>
      <c r="L7" s="613"/>
      <c r="M7" s="613"/>
      <c r="N7" s="613"/>
      <c r="O7" s="339"/>
      <c r="P7" s="613"/>
      <c r="Q7" s="338"/>
      <c r="R7" s="338"/>
      <c r="S7" s="338"/>
      <c r="T7" s="338"/>
      <c r="IU7" s="620">
        <v>14</v>
      </c>
    </row>
    <row s="8370" customFormat="1" customHeight="1" ht="21">
      <c r="A8" s="1268"/>
      <c r="B8" s="1273"/>
      <c r="C8" s="1268"/>
      <c r="D8" s="1608"/>
      <c r="E8" s="1661" t="s">
        <v>88</v>
      </c>
      <c r="F8" s="1653" t="s">
        <v>2003</v>
      </c>
      <c r="G8" s="1653" t="s">
        <v>49</v>
      </c>
      <c r="H8" s="1653" t="s">
        <v>51</v>
      </c>
      <c r="I8" s="1653" t="s">
        <v>2004</v>
      </c>
      <c r="J8" s="2588"/>
      <c r="K8" s="613"/>
      <c r="L8" s="613"/>
      <c r="M8" s="613"/>
      <c r="N8" s="613"/>
      <c r="O8" s="339"/>
      <c r="P8" s="613"/>
      <c r="Q8" s="338"/>
      <c r="R8" s="338"/>
      <c r="S8" s="338"/>
      <c r="T8" s="338"/>
      <c r="IU8" s="620">
        <v>20</v>
      </c>
    </row>
    <row s="8415"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8415" customFormat="1" customHeight="1" ht="15.75">
      <c r="A10" s="1744"/>
      <c r="B10" s="1273"/>
      <c r="C10" s="525"/>
      <c r="D10" s="914"/>
      <c r="E10" s="1654"/>
      <c r="F10" s="1613" t="s">
        <v>2005</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8370"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8370"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8370"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8448" customFormat="1" customHeight="1" ht="10.5">
      <c r="B14" s="947"/>
      <c r="D14" s="295"/>
      <c r="K14" s="613"/>
      <c r="L14" s="613"/>
      <c r="M14" s="613"/>
      <c r="N14" s="613"/>
      <c r="O14" s="339"/>
      <c r="P14" s="613"/>
      <c r="Q14" s="338"/>
      <c r="R14" s="338"/>
      <c r="S14" s="338"/>
      <c r="T14" s="338"/>
      <c r="IU14" s="294">
        <v>10</v>
      </c>
    </row>
    <row s="8448"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82</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1E3C17-9E6D-EC0C-89EE-8FA230571043}" mc:Ignorable="x14ac xr xr2 xr3">
  <dimension ref="A1:IW15"/>
  <sheetViews>
    <sheetView topLeftCell="A1" showGridLines="0" zoomScale="90" workbookViewId="0">
      <selection activeCell="A1" sqref="A1"/>
    </sheetView>
  </sheetViews>
  <sheetFormatPr defaultColWidth="9.140625" customHeight="1" defaultRowHeight="14.25"/>
  <cols>
    <col min="1" max="1" style="8273" width="9.140625" hidden="1"/>
    <col min="2" max="2" style="8354" width="9.140625" hidden="1"/>
    <col min="3" max="3" style="8273" width="3.7109375" hidden="1" customWidth="1"/>
    <col min="4" max="4" style="8453" width="3.00390625" customWidth="1"/>
    <col min="5" max="5" style="8273" width="6.00390625" customWidth="1"/>
    <col min="6" max="6" style="8273" width="27.00390625" customWidth="1"/>
    <col min="7" max="7" style="8273" width="16.00390625" customWidth="1"/>
    <col min="8" max="8" style="8273" width="12.00390625" customWidth="1"/>
    <col min="9" max="9" style="8273" width="32.00390625" customWidth="1"/>
    <col min="10" max="11" style="8273" width="41.00390625" customWidth="1"/>
    <col min="12" max="12" style="8273" width="89.00390625" customWidth="1"/>
    <col min="13" max="13" style="8454" width="3.00390625" customWidth="1"/>
    <col min="14" max="16" style="8454" width="8.00390625" customWidth="1"/>
    <col min="17" max="17" style="8454" width="25.00390625" customWidth="1"/>
    <col min="18" max="18" style="8454" width="14.00390625" customWidth="1"/>
    <col min="19" max="22" style="8455" width="8.00390625" customWidth="1"/>
    <col min="23" max="256" style="8273" width="8.00390625" customWidth="1"/>
    <col min="257" max="257" style="8273" width="9.140625" hidden="1"/>
  </cols>
  <sheetData>
    <row customHeight="1" ht="22.5" hidden="1">
      <c r="IW1" s="1268" t="s">
        <v>14</v>
      </c>
    </row>
    <row s="8415" customFormat="1" customHeight="1" ht="22.5" hidden="1">
      <c r="A2" s="944"/>
      <c r="B2" s="1273">
        <v>1</v>
      </c>
      <c r="C2" s="1273"/>
      <c r="D2" s="2041" t="s">
        <v>105</v>
      </c>
      <c r="E2" s="2002"/>
      <c r="F2" s="2005" t="str">
        <f>IF(ROIV_INFO_NAME="","",ROIV_INFO_NAME)</f>
        <v>МУП ЖКХ "Родник"</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8355" customFormat="1" customHeight="1" ht="5.25" hidden="1">
      <c r="A3" s="609"/>
      <c r="D3" s="607"/>
      <c r="F3" s="360" t="s">
        <v>83</v>
      </c>
      <c r="G3" s="1848" t="s">
        <v>84</v>
      </c>
      <c r="H3" s="607"/>
      <c r="I3" s="607"/>
      <c r="J3" s="607"/>
      <c r="K3" s="607"/>
      <c r="L3" s="340" t="s">
        <v>85</v>
      </c>
      <c r="M3" s="360" t="s">
        <v>83</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8370"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8370"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13"/>
      <c r="G5" s="2213"/>
      <c r="H5" s="2213"/>
      <c r="I5" s="2213"/>
      <c r="J5" s="2213"/>
      <c r="K5" s="2213"/>
      <c r="L5" s="701"/>
      <c r="M5" s="360"/>
      <c r="N5" s="613"/>
      <c r="O5" s="613"/>
      <c r="P5" s="613"/>
      <c r="Q5" s="339"/>
      <c r="R5" s="613"/>
      <c r="S5" s="338"/>
      <c r="T5" s="338"/>
      <c r="U5" s="338"/>
      <c r="V5" s="338"/>
      <c r="IW5" s="620">
        <v>26</v>
      </c>
    </row>
    <row s="8370"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8370" customFormat="1" customHeight="1" ht="14.699999999999998">
      <c r="A7" s="1268"/>
      <c r="B7" s="1273"/>
      <c r="C7" s="1268"/>
      <c r="D7" s="1608"/>
      <c r="E7" s="2214" t="s">
        <v>428</v>
      </c>
      <c r="F7" s="2215"/>
      <c r="G7" s="2215"/>
      <c r="H7" s="2215"/>
      <c r="I7" s="2215"/>
      <c r="J7" s="2215"/>
      <c r="K7" s="2215"/>
      <c r="L7" s="2587" t="s">
        <v>429</v>
      </c>
      <c r="M7" s="613"/>
      <c r="N7" s="613"/>
      <c r="O7" s="613"/>
      <c r="P7" s="613"/>
      <c r="Q7" s="339"/>
      <c r="R7" s="613"/>
      <c r="S7" s="338"/>
      <c r="T7" s="338"/>
      <c r="U7" s="338"/>
      <c r="V7" s="338"/>
      <c r="IW7" s="620">
        <v>14</v>
      </c>
    </row>
    <row s="8370" customFormat="1" customHeight="1" ht="67.2">
      <c r="A8" s="1268"/>
      <c r="B8" s="1273"/>
      <c r="C8" s="1268"/>
      <c r="D8" s="1608"/>
      <c r="E8" s="2591" t="s">
        <v>88</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613"/>
      <c r="N8" s="613"/>
      <c r="O8" s="613"/>
      <c r="P8" s="613"/>
      <c r="Q8" s="339"/>
      <c r="R8" s="613"/>
      <c r="S8" s="338"/>
      <c r="T8" s="338"/>
      <c r="U8" s="338"/>
      <c r="V8" s="338"/>
      <c r="IW8" s="620">
        <v>64</v>
      </c>
    </row>
    <row s="8370" customFormat="1" customHeight="1" ht="29.25">
      <c r="A9" s="1268"/>
      <c r="B9" s="1273"/>
      <c r="C9" s="1268"/>
      <c r="D9" s="1608"/>
      <c r="E9" s="2592"/>
      <c r="F9" s="2592"/>
      <c r="G9" s="1650" t="s">
        <v>2006</v>
      </c>
      <c r="H9" s="1650" t="s">
        <v>2007</v>
      </c>
      <c r="I9" s="1650" t="s">
        <v>2008</v>
      </c>
      <c r="J9" s="2592"/>
      <c r="K9" s="2592"/>
      <c r="L9" s="2588"/>
      <c r="M9" s="613"/>
      <c r="N9" s="613"/>
      <c r="O9" s="613"/>
      <c r="P9" s="613"/>
      <c r="Q9" s="339"/>
      <c r="R9" s="613"/>
      <c r="S9" s="338"/>
      <c r="T9" s="338"/>
      <c r="U9" s="338"/>
      <c r="V9" s="338"/>
      <c r="IW9" s="620">
        <v>28</v>
      </c>
    </row>
    <row s="8415" customFormat="1" customHeight="1" ht="23.25">
      <c r="A10" s="2212"/>
      <c r="B10" s="1273">
        <v>1</v>
      </c>
      <c r="C10" s="1273"/>
      <c r="D10" s="913"/>
      <c r="E10" s="911">
        <v>1</v>
      </c>
      <c r="F10" s="1652" t="str">
        <f>IF(ROIV_INFO_NAME="","",ROIV_INFO_NAME)</f>
        <v>МУП ЖКХ "Родник"</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8415" customFormat="1" customHeight="1" ht="15.75">
      <c r="A11" s="2212"/>
      <c r="B11" s="1273"/>
      <c r="C11" s="525"/>
      <c r="D11" s="914"/>
      <c r="E11" s="534"/>
      <c r="F11" s="529" t="s">
        <v>2009</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8370"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8370"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8370"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82</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DE894A-EB58-8D5D-EADE-7DC92FDF9D6E}" mc:Ignorable="x14ac xr xr2 xr3">
  <dimension ref="A1:IW15"/>
  <sheetViews>
    <sheetView topLeftCell="A1" showGridLines="0" zoomScale="90" workbookViewId="0">
      <selection activeCell="A1" sqref="A1"/>
    </sheetView>
  </sheetViews>
  <sheetFormatPr defaultColWidth="9.140625" customHeight="1" defaultRowHeight="14.25"/>
  <cols>
    <col min="1" max="1" style="8273" width="9.140625" hidden="1"/>
    <col min="2" max="2" style="8354" width="9.140625" hidden="1"/>
    <col min="3" max="3" style="8273" width="3.7109375" hidden="1" customWidth="1"/>
    <col min="4" max="4" style="8453" width="3.00390625" customWidth="1"/>
    <col min="5" max="5" style="8273" width="6.00390625" customWidth="1"/>
    <col min="6" max="6" style="8273" width="27.00390625" customWidth="1"/>
    <col min="7" max="7" style="8273" width="16.00390625" customWidth="1"/>
    <col min="8" max="8" style="8273" width="12.00390625" customWidth="1"/>
    <col min="9" max="9" style="8273" width="32.00390625" customWidth="1"/>
    <col min="10" max="11" style="8273" width="41.00390625" customWidth="1"/>
    <col min="12" max="12" style="8273" width="89.00390625" customWidth="1"/>
    <col min="13" max="13" style="8454" width="3.00390625" customWidth="1"/>
    <col min="14" max="16" style="8454" width="8.00390625" customWidth="1"/>
    <col min="17" max="17" style="8454" width="25.00390625" customWidth="1"/>
    <col min="18" max="18" style="8454" width="14.00390625" customWidth="1"/>
    <col min="19" max="22" style="8455" width="8.00390625" customWidth="1"/>
    <col min="23" max="256" style="8273" width="8.00390625" customWidth="1"/>
    <col min="257" max="257" style="8273" width="9.140625" hidden="1"/>
  </cols>
  <sheetData>
    <row customHeight="1" ht="22.5" hidden="1">
      <c r="IW1" s="1744" t="s">
        <v>14</v>
      </c>
    </row>
    <row s="8415" customFormat="1" customHeight="1" ht="22.5" hidden="1">
      <c r="A2" s="944"/>
      <c r="B2" s="1479">
        <v>1</v>
      </c>
      <c r="C2" s="1479"/>
      <c r="D2" s="2041" t="s">
        <v>105</v>
      </c>
      <c r="E2" s="2017"/>
      <c r="F2" s="2019" t="str">
        <f>IF(ROIV_INFO_NAME="","",ROIV_INFO_NAME)</f>
        <v>МУП ЖКХ "Родник"</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8355" customFormat="1" customHeight="1" ht="5.25" hidden="1">
      <c r="A3" s="1754"/>
      <c r="D3" s="2006"/>
      <c r="F3" s="361" t="s">
        <v>83</v>
      </c>
      <c r="G3" s="1848" t="s">
        <v>84</v>
      </c>
      <c r="H3" s="2006"/>
      <c r="I3" s="2006"/>
      <c r="J3" s="2006"/>
      <c r="K3" s="2006"/>
      <c r="L3" s="340" t="s">
        <v>85</v>
      </c>
      <c r="M3" s="361" t="s">
        <v>83</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8370"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8370"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13"/>
      <c r="G5" s="2213"/>
      <c r="H5" s="2213"/>
      <c r="I5" s="2213"/>
      <c r="J5" s="2213"/>
      <c r="K5" s="2213"/>
      <c r="L5" s="1748"/>
      <c r="M5" s="361"/>
      <c r="N5" s="1737"/>
      <c r="O5" s="1737"/>
      <c r="P5" s="1737"/>
      <c r="Q5" s="1737"/>
      <c r="R5" s="1737"/>
      <c r="S5" s="338"/>
      <c r="T5" s="338"/>
      <c r="U5" s="338"/>
      <c r="V5" s="338"/>
      <c r="IW5" s="1722">
        <v>26</v>
      </c>
    </row>
    <row s="8370"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8370" customFormat="1" customHeight="1" ht="14.699999999999998">
      <c r="A7" s="1744"/>
      <c r="B7" s="1479"/>
      <c r="C7" s="1744"/>
      <c r="D7" s="1628"/>
      <c r="E7" s="2214" t="s">
        <v>428</v>
      </c>
      <c r="F7" s="2215"/>
      <c r="G7" s="2215"/>
      <c r="H7" s="2215"/>
      <c r="I7" s="2215"/>
      <c r="J7" s="2215"/>
      <c r="K7" s="2215"/>
      <c r="L7" s="2587" t="s">
        <v>429</v>
      </c>
      <c r="M7" s="1737"/>
      <c r="N7" s="1737"/>
      <c r="O7" s="1737"/>
      <c r="P7" s="1737"/>
      <c r="Q7" s="1737"/>
      <c r="R7" s="1737"/>
      <c r="S7" s="338"/>
      <c r="T7" s="338"/>
      <c r="U7" s="338"/>
      <c r="V7" s="338"/>
      <c r="IW7" s="1722">
        <v>14</v>
      </c>
    </row>
    <row s="8370" customFormat="1" customHeight="1" ht="67.2">
      <c r="A8" s="1744"/>
      <c r="B8" s="1479"/>
      <c r="C8" s="1744"/>
      <c r="D8" s="1628"/>
      <c r="E8" s="2591" t="s">
        <v>88</v>
      </c>
      <c r="F8" s="2591" t="s">
        <v>2010</v>
      </c>
      <c r="G8" s="2593" t="s">
        <v>2011</v>
      </c>
      <c r="H8" s="2594"/>
      <c r="I8" s="2595"/>
      <c r="J8" s="2591" t="s">
        <v>2012</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1737"/>
      <c r="N8" s="1737"/>
      <c r="O8" s="1737"/>
      <c r="P8" s="1737"/>
      <c r="Q8" s="1737"/>
      <c r="R8" s="1737"/>
      <c r="S8" s="338"/>
      <c r="T8" s="338"/>
      <c r="U8" s="338"/>
      <c r="V8" s="338"/>
      <c r="IW8" s="1722">
        <v>64</v>
      </c>
    </row>
    <row s="8370" customFormat="1" customHeight="1" ht="29.25">
      <c r="A9" s="1744"/>
      <c r="B9" s="1479"/>
      <c r="C9" s="1744"/>
      <c r="D9" s="1628"/>
      <c r="E9" s="2592"/>
      <c r="F9" s="2592"/>
      <c r="G9" s="2007" t="s">
        <v>2006</v>
      </c>
      <c r="H9" s="2007" t="s">
        <v>2007</v>
      </c>
      <c r="I9" s="2007" t="s">
        <v>2008</v>
      </c>
      <c r="J9" s="2592"/>
      <c r="K9" s="2592"/>
      <c r="L9" s="2588"/>
      <c r="M9" s="1737"/>
      <c r="N9" s="1737"/>
      <c r="O9" s="1737"/>
      <c r="P9" s="1737"/>
      <c r="Q9" s="1737"/>
      <c r="R9" s="1737"/>
      <c r="S9" s="338"/>
      <c r="T9" s="338"/>
      <c r="U9" s="338"/>
      <c r="V9" s="338"/>
      <c r="IW9" s="1722">
        <v>28</v>
      </c>
    </row>
    <row s="8415" customFormat="1" customHeight="1" ht="1.05">
      <c r="A10" s="2212"/>
      <c r="B10" s="1479">
        <v>1</v>
      </c>
      <c r="C10" s="1479"/>
      <c r="D10" s="913"/>
      <c r="E10" s="908">
        <v>0</v>
      </c>
      <c r="F10" s="2004" t="str">
        <f>IF(ROIV_INFO_NAME="","",ROIV_INFO_NAME)</f>
        <v>МУП ЖКХ "Родник"</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8415" customFormat="1" customHeight="1" ht="15.75">
      <c r="A11" s="2212"/>
      <c r="B11" s="1479"/>
      <c r="C11" s="525"/>
      <c r="D11" s="914"/>
      <c r="E11" s="534"/>
      <c r="F11" s="764" t="s">
        <v>2009</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8370"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8370"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8370"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82</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2B5CAB-D53F-785F-FABB-78F723E8E853}" mc:Ignorable="x14ac xr xr2 xr3">
  <dimension ref="A1:Q19"/>
  <sheetViews>
    <sheetView topLeftCell="A1" showGridLines="0" zoomScale="90" workbookViewId="0">
      <selection activeCell="A1" sqref="A1"/>
    </sheetView>
  </sheetViews>
  <sheetFormatPr defaultColWidth="9.140625" customHeight="1" defaultRowHeight="14.25"/>
  <cols>
    <col min="1" max="1" style="8273" width="9.140625" hidden="1"/>
    <col min="2" max="2" style="8354" width="9.140625" hidden="1"/>
    <col min="3" max="3" style="8273" width="3.7109375" hidden="1" customWidth="1"/>
    <col min="4" max="4" style="8453" width="3.00390625" customWidth="1"/>
    <col min="5" max="5" style="8273" width="6.00390625" customWidth="1"/>
    <col min="6" max="6" style="8273" width="27.00390625" customWidth="1"/>
    <col min="7" max="7" style="8273" width="29.00390625" customWidth="1"/>
    <col min="8" max="8" style="8273" width="25.00390625" customWidth="1"/>
    <col min="9" max="9" style="8273" width="5.00390625" customWidth="1"/>
    <col min="10" max="10" style="8273" width="6.00390625" customWidth="1"/>
    <col min="11" max="11" style="8273" width="41.00390625" customWidth="1"/>
    <col min="12" max="12" style="8273" width="42.00390625" customWidth="1"/>
    <col min="13" max="13" style="8273" width="41.00390625" customWidth="1"/>
    <col min="14" max="14" style="8273" width="89.00390625" customWidth="1"/>
    <col min="15" max="15" style="8454" width="3.00390625" customWidth="1"/>
    <col min="16" max="16" style="8454" width="8.00390625" customWidth="1"/>
    <col min="17" max="17" style="8273" width="9.140625" hidden="1"/>
  </cols>
  <sheetData>
    <row customHeight="1" ht="22.5" hidden="1">
      <c r="Q1" s="1268" t="s">
        <v>14</v>
      </c>
    </row>
    <row s="8415" customFormat="1" customHeight="1" ht="22.5" hidden="1">
      <c r="A2" s="609"/>
      <c r="B2" s="1273">
        <v>1</v>
      </c>
      <c r="C2" s="1273"/>
      <c r="D2" s="2041" t="s">
        <v>105</v>
      </c>
      <c r="E2" s="2240">
        <v>1</v>
      </c>
      <c r="F2" s="2416" t="str">
        <f>IF(region_name="","",region_name)</f>
        <v>Курская область</v>
      </c>
      <c r="G2" s="2596"/>
      <c r="H2" s="2597"/>
      <c r="I2" s="587"/>
      <c r="J2" s="2023">
        <v>1</v>
      </c>
      <c r="K2" s="2025"/>
      <c r="L2" s="2025"/>
      <c r="M2" s="2025"/>
      <c r="N2" s="605"/>
      <c r="O2" s="1648"/>
      <c r="P2" s="624"/>
      <c r="Q2" s="536">
        <v>0</v>
      </c>
    </row>
    <row s="8415" customFormat="1" customHeight="1" ht="22.5" hidden="1">
      <c r="A3" s="944"/>
      <c r="B3" s="1273"/>
      <c r="C3" s="1273"/>
      <c r="D3" s="914"/>
      <c r="E3" s="2240"/>
      <c r="F3" s="2416"/>
      <c r="G3" s="2596"/>
      <c r="H3" s="2598"/>
      <c r="I3" s="534"/>
      <c r="J3" s="1613"/>
      <c r="K3" s="1613" t="s">
        <v>2013</v>
      </c>
      <c r="L3" s="1656"/>
      <c r="M3" s="2033"/>
      <c r="N3" s="2026"/>
      <c r="O3" s="1648"/>
      <c r="P3" s="624"/>
      <c r="Q3" s="536">
        <v>0</v>
      </c>
    </row>
    <row s="8355" customFormat="1" customHeight="1" ht="5.25" hidden="1">
      <c r="A4" s="609"/>
      <c r="D4" s="607"/>
      <c r="F4" s="360" t="s">
        <v>83</v>
      </c>
      <c r="G4" s="607" t="s">
        <v>84</v>
      </c>
      <c r="H4" s="607"/>
      <c r="I4" s="2036"/>
      <c r="J4" s="1657"/>
      <c r="K4" s="2024"/>
      <c r="L4" s="2024"/>
      <c r="M4" s="2024"/>
      <c r="N4" s="2020"/>
      <c r="O4" s="360" t="s">
        <v>83</v>
      </c>
      <c r="P4" s="360"/>
      <c r="Q4" s="624">
        <v>0</v>
      </c>
    </row>
    <row s="8415" customFormat="1" customHeight="1" ht="22.5" hidden="1">
      <c r="A5" s="1754"/>
      <c r="B5" s="1479">
        <v>1</v>
      </c>
      <c r="C5" s="1479"/>
      <c r="D5" s="914"/>
      <c r="E5" s="2026"/>
      <c r="F5" s="2026"/>
      <c r="G5" s="2026"/>
      <c r="H5" s="2037"/>
      <c r="I5" s="2042" t="s">
        <v>105</v>
      </c>
      <c r="J5" s="2035">
        <v>1</v>
      </c>
      <c r="K5" s="2025"/>
      <c r="L5" s="2025"/>
      <c r="M5" s="2025"/>
      <c r="N5" s="605"/>
      <c r="O5" s="1648"/>
      <c r="P5" s="1749"/>
      <c r="Q5" s="737">
        <v>0</v>
      </c>
    </row>
    <row s="8370" customFormat="1" customHeight="1" ht="14.699999999999998">
      <c r="A6" s="1268"/>
      <c r="B6" s="1273"/>
      <c r="C6" s="1268"/>
      <c r="D6" s="1608"/>
      <c r="E6" s="622"/>
      <c r="F6" s="622"/>
      <c r="G6" s="622"/>
      <c r="H6" s="622"/>
      <c r="I6" s="622"/>
      <c r="J6" s="622"/>
      <c r="K6" s="622"/>
      <c r="L6" s="622"/>
      <c r="M6" s="622"/>
      <c r="N6" s="1748"/>
      <c r="O6" s="360"/>
      <c r="P6" s="613"/>
      <c r="Q6" s="620">
        <v>14</v>
      </c>
    </row>
    <row s="8370"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8370" customFormat="1" customHeight="1" ht="14.699999999999998">
      <c r="A8" s="1268"/>
      <c r="B8" s="1273"/>
      <c r="C8" s="1268"/>
      <c r="D8" s="1608"/>
      <c r="E8" s="622"/>
      <c r="F8" s="280"/>
      <c r="G8" s="280"/>
      <c r="H8" s="280"/>
      <c r="I8" s="280"/>
      <c r="J8" s="280"/>
      <c r="K8" s="280"/>
      <c r="L8" s="280"/>
      <c r="M8" s="280"/>
      <c r="N8" s="729"/>
      <c r="O8" s="613"/>
      <c r="P8" s="613"/>
      <c r="Q8" s="620">
        <v>14</v>
      </c>
    </row>
    <row s="13210" customFormat="1" customHeight="1" ht="14.25" hidden="1">
      <c r="A9" s="1581"/>
      <c r="B9" s="1591"/>
      <c r="C9" s="1581"/>
      <c r="D9" s="1608"/>
      <c r="E9" s="2027"/>
      <c r="F9" s="2027"/>
      <c r="G9" s="2027"/>
      <c r="H9" s="2027"/>
      <c r="I9" s="2606"/>
      <c r="J9" s="2606"/>
      <c r="K9" s="2606"/>
      <c r="L9" s="2027"/>
      <c r="M9" s="2028"/>
      <c r="O9" s="1658"/>
      <c r="P9" s="1658"/>
      <c r="Q9" s="1659">
        <v>0</v>
      </c>
    </row>
    <row s="8370" customFormat="1" customHeight="1" ht="14.699999999999998">
      <c r="A10" s="1268"/>
      <c r="B10" s="1273"/>
      <c r="C10" s="1268"/>
      <c r="D10" s="1608"/>
      <c r="E10" s="2240" t="s">
        <v>428</v>
      </c>
      <c r="F10" s="2240"/>
      <c r="G10" s="2240"/>
      <c r="H10" s="2240"/>
      <c r="I10" s="2240"/>
      <c r="J10" s="2240"/>
      <c r="K10" s="2240"/>
      <c r="L10" s="2240"/>
      <c r="M10" s="2214"/>
      <c r="N10" s="2591" t="s">
        <v>429</v>
      </c>
      <c r="O10" s="613"/>
      <c r="P10" s="613"/>
      <c r="Q10" s="620">
        <v>14</v>
      </c>
    </row>
    <row s="8370" customFormat="1" customHeight="1" ht="44.25">
      <c r="A11" s="1744"/>
      <c r="B11" s="1479"/>
      <c r="C11" s="1744"/>
      <c r="D11" s="1628"/>
      <c r="E11" s="2605" t="s">
        <v>88</v>
      </c>
      <c r="F11" s="2605" t="s">
        <v>432</v>
      </c>
      <c r="G11" s="2605" t="s">
        <v>2014</v>
      </c>
      <c r="H11" s="2605"/>
      <c r="I11" s="2605" t="s">
        <v>2015</v>
      </c>
      <c r="J11" s="2605"/>
      <c r="K11" s="2605"/>
      <c r="L11" s="2605" t="s">
        <v>2016</v>
      </c>
      <c r="M11" s="2593" t="s">
        <v>2017</v>
      </c>
      <c r="N11" s="2604"/>
      <c r="O11" s="1737"/>
      <c r="P11" s="1737"/>
      <c r="Q11" s="1722">
        <v>42</v>
      </c>
    </row>
    <row s="8370" customFormat="1" customHeight="1" ht="29.25">
      <c r="A12" s="1268"/>
      <c r="B12" s="1273"/>
      <c r="C12" s="1268"/>
      <c r="D12" s="1608"/>
      <c r="E12" s="2591"/>
      <c r="F12" s="2605"/>
      <c r="G12" s="2022" t="s">
        <v>2018</v>
      </c>
      <c r="H12" s="2022" t="s">
        <v>436</v>
      </c>
      <c r="I12" s="2605"/>
      <c r="J12" s="2605"/>
      <c r="K12" s="2605"/>
      <c r="L12" s="2605"/>
      <c r="M12" s="2593"/>
      <c r="N12" s="2592"/>
      <c r="O12" s="613"/>
      <c r="P12" s="613"/>
      <c r="Q12" s="620">
        <v>28</v>
      </c>
    </row>
    <row s="8415" customFormat="1" customHeight="1" ht="23.25">
      <c r="A13" s="2212">
        <v>26379339</v>
      </c>
      <c r="B13" s="1273">
        <v>1</v>
      </c>
      <c r="C13" s="1273"/>
      <c r="D13" s="914"/>
      <c r="E13" s="2240">
        <v>1</v>
      </c>
      <c r="F13" s="2599" t="str">
        <f>IF(region_name="","",region_name)</f>
        <v>Курская область</v>
      </c>
      <c r="G13" s="2600"/>
      <c r="H13" s="2607"/>
      <c r="I13" s="587"/>
      <c r="J13" s="2018">
        <v>1</v>
      </c>
      <c r="K13" s="2031"/>
      <c r="L13" s="2032"/>
      <c r="M13" s="2032"/>
      <c r="N13" s="2601" t="s">
        <v>2019</v>
      </c>
      <c r="O13" s="1648"/>
      <c r="P13" s="624"/>
      <c r="Q13" s="536">
        <v>22</v>
      </c>
    </row>
    <row s="8415" customFormat="1" customHeight="1" ht="23.25">
      <c r="A14" s="2212"/>
      <c r="B14" s="1273"/>
      <c r="C14" s="1273"/>
      <c r="D14" s="914"/>
      <c r="E14" s="2240"/>
      <c r="F14" s="2599"/>
      <c r="G14" s="2600"/>
      <c r="H14" s="2608"/>
      <c r="I14" s="534"/>
      <c r="J14" s="1613"/>
      <c r="K14" s="1613" t="s">
        <v>2013</v>
      </c>
      <c r="L14" s="1656"/>
      <c r="M14" s="1656"/>
      <c r="N14" s="2602"/>
      <c r="O14" s="1648"/>
      <c r="P14" s="624"/>
      <c r="Q14" s="536">
        <v>22</v>
      </c>
    </row>
    <row s="8415" customFormat="1" customHeight="1" ht="23.25">
      <c r="A15" s="2212"/>
      <c r="B15" s="1273"/>
      <c r="C15" s="525"/>
      <c r="D15" s="914"/>
      <c r="E15" s="534"/>
      <c r="F15" s="1613" t="s">
        <v>2005</v>
      </c>
      <c r="G15" s="1655"/>
      <c r="H15" s="1655"/>
      <c r="I15" s="300"/>
      <c r="J15" s="300"/>
      <c r="K15" s="300"/>
      <c r="L15" s="300"/>
      <c r="M15" s="300"/>
      <c r="N15" s="2602"/>
      <c r="O15" s="1649"/>
      <c r="P15" s="624"/>
      <c r="Q15" s="536">
        <v>22</v>
      </c>
    </row>
    <row s="8370" customFormat="1" customHeight="1" ht="22.049999999999997">
      <c r="A16" s="1268"/>
      <c r="B16" s="1273"/>
      <c r="C16" s="1268"/>
      <c r="D16" s="564"/>
      <c r="E16" s="293"/>
      <c r="F16" s="293"/>
      <c r="G16" s="293"/>
      <c r="H16" s="293"/>
      <c r="I16" s="293"/>
      <c r="J16" s="293"/>
      <c r="K16" s="293"/>
      <c r="L16" s="293"/>
      <c r="M16" s="622"/>
      <c r="N16" s="1748"/>
      <c r="O16" s="613"/>
      <c r="P16" s="613"/>
      <c r="Q16" s="620">
        <v>21</v>
      </c>
    </row>
    <row s="8370"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8370"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82</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BB3837-6E5F-45C2-2A3C-019D1B2CBB69}"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8829" width="9.140625" hidden="1"/>
    <col min="2" max="2" style="12963" width="9.140625" hidden="1"/>
    <col min="3" max="3" style="13250" width="3.00390625" customWidth="1"/>
    <col min="4" max="4" style="12963" width="6.00390625" customWidth="1"/>
    <col min="5" max="5" style="12963" width="22.00390625" customWidth="1"/>
    <col min="6" max="6" style="12963" width="15.00390625" customWidth="1"/>
    <col min="7" max="7" style="12963" width="14.00390625" customWidth="1"/>
    <col min="8" max="8" style="12963" width="47.00390625" customWidth="1"/>
    <col min="9" max="9" style="12963" width="115.00390625" customWidth="1"/>
    <col min="10" max="10" style="12963" width="3.00390625" customWidth="1"/>
    <col min="11" max="12" style="12963" width="8.00390625" customWidth="1"/>
    <col min="13" max="13" style="12963" width="9.140625" hidden="1"/>
  </cols>
  <sheetData>
    <row customHeight="1" ht="14.25" hidden="1">
      <c r="M1" s="234" t="s">
        <v>14</v>
      </c>
    </row>
    <row customHeight="1" ht="14.25" hidden="1">
      <c r="M2" s="234">
        <v>0</v>
      </c>
    </row>
    <row customHeight="1" ht="14.25" hidden="1">
      <c r="M3" s="234">
        <v>0</v>
      </c>
    </row>
    <row customHeight="1" ht="3">
      <c r="M4" s="234">
        <v>3</v>
      </c>
    </row>
    <row s="8273" customFormat="1" customHeight="1" ht="31.5">
      <c r="A5" s="228"/>
      <c r="C5" s="203"/>
      <c r="D5" s="2213" t="s">
        <v>2020</v>
      </c>
      <c r="E5" s="2213"/>
      <c r="F5" s="2213"/>
      <c r="G5" s="2213"/>
      <c r="H5" s="2213"/>
      <c r="I5" s="378"/>
      <c r="M5" s="196">
        <v>30</v>
      </c>
    </row>
    <row customHeight="1" ht="3" hidden="1">
      <c r="D6" s="235"/>
      <c r="E6" s="235"/>
      <c r="F6" s="235"/>
      <c r="G6" s="235"/>
      <c r="H6" s="235"/>
      <c r="I6" s="235"/>
      <c r="M6" s="234">
        <v>0</v>
      </c>
    </row>
    <row s="8829" customFormat="1" customHeight="1" ht="14.699999999999998">
      <c r="B7" s="232"/>
      <c r="C7" s="233"/>
      <c r="D7" s="236"/>
      <c r="E7" s="236"/>
      <c r="F7" s="236"/>
      <c r="G7" s="236"/>
      <c r="H7" s="865"/>
      <c r="I7" s="236"/>
      <c r="J7" s="237"/>
      <c r="M7" s="231">
        <v>14</v>
      </c>
    </row>
    <row customHeight="1" ht="14.699999999999998">
      <c r="D8" s="2322" t="s">
        <v>428</v>
      </c>
      <c r="E8" s="2322"/>
      <c r="F8" s="2322"/>
      <c r="G8" s="2322"/>
      <c r="H8" s="2322"/>
      <c r="I8" s="2322" t="s">
        <v>429</v>
      </c>
      <c r="M8" s="234">
        <v>14</v>
      </c>
    </row>
    <row customHeight="1" ht="29.25">
      <c r="D9" s="2322" t="s">
        <v>88</v>
      </c>
      <c r="E9" s="2322" t="s">
        <v>2021</v>
      </c>
      <c r="F9" s="2322"/>
      <c r="G9" s="2322"/>
      <c r="H9" s="2322"/>
      <c r="I9" s="2322"/>
      <c r="M9" s="234">
        <v>28</v>
      </c>
    </row>
    <row customHeight="1" ht="24">
      <c r="D10" s="2322"/>
      <c r="E10" s="240" t="s">
        <v>2022</v>
      </c>
      <c r="F10" s="240" t="s">
        <v>2023</v>
      </c>
      <c r="G10" s="240" t="s">
        <v>2024</v>
      </c>
      <c r="H10" s="240" t="s">
        <v>518</v>
      </c>
      <c r="I10" s="2322"/>
      <c r="M10" s="234">
        <v>23</v>
      </c>
    </row>
    <row customHeight="1" ht="12" hidden="1">
      <c r="D11" s="200" t="s">
        <v>187</v>
      </c>
      <c r="E11" s="200" t="s">
        <v>91</v>
      </c>
      <c r="F11" s="200" t="s">
        <v>118</v>
      </c>
      <c r="G11" s="200" t="s">
        <v>92</v>
      </c>
      <c r="H11" s="200" t="s">
        <v>93</v>
      </c>
      <c r="I11" s="200" t="s">
        <v>131</v>
      </c>
      <c r="M11" s="234">
        <v>0</v>
      </c>
    </row>
    <row s="12963" customFormat="1" customHeight="1" ht="26.25">
      <c r="A12" s="258" t="s">
        <v>90</v>
      </c>
      <c r="B12" s="238" t="s">
        <v>28</v>
      </c>
      <c r="C12" s="239"/>
      <c r="D12" s="241" t="s">
        <v>187</v>
      </c>
      <c r="E12" s="494"/>
      <c r="F12" s="494"/>
      <c r="G12" s="1847" t="s">
        <v>28</v>
      </c>
      <c r="H12" s="495"/>
      <c r="I12" s="2282" t="s">
        <v>2025</v>
      </c>
      <c r="K12" s="385"/>
      <c r="L12" s="386"/>
      <c r="M12" s="230">
        <v>25</v>
      </c>
    </row>
    <row customHeight="1" ht="15.75">
      <c r="A13" s="234"/>
      <c r="B13" s="234"/>
      <c r="C13" s="234"/>
      <c r="D13" s="222"/>
      <c r="E13" s="243" t="s">
        <v>593</v>
      </c>
      <c r="F13" s="242"/>
      <c r="G13" s="242"/>
      <c r="H13" s="327"/>
      <c r="I13" s="2284"/>
      <c r="M13" s="234">
        <v>15</v>
      </c>
    </row>
    <row customHeight="1" ht="3">
      <c r="A14" s="234"/>
      <c r="B14" s="234"/>
      <c r="C14" s="234"/>
      <c r="M14" s="234">
        <v>3</v>
      </c>
    </row>
    <row customHeight="1" ht="29.25">
      <c r="E15" s="2609" t="s">
        <v>2026</v>
      </c>
      <c r="F15" s="2609"/>
      <c r="G15" s="2609"/>
      <c r="H15" s="2609"/>
      <c r="M15" s="234">
        <v>28</v>
      </c>
    </row>
    <row customHeight="1" ht="14.25" hidden="1">
      <c r="A16" s="231" t="s">
        <v>82</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B2DE33-35B1-2105-C876-EE883340FF98}" mc:Ignorable="x14ac xr xr2 xr3">
  <sheetPr>
    <tabColor rgb="FFCCCCFF"/>
    <pageSetUpPr fitToPage="1"/>
  </sheetPr>
  <dimension ref="A1:J16"/>
  <sheetViews>
    <sheetView topLeftCell="C6" showGridLines="0" zoomScale="90" workbookViewId="0" tabSelected="1">
      <selection activeCell="E12" sqref="E12"/>
    </sheetView>
  </sheetViews>
  <sheetFormatPr defaultColWidth="9.140625" customHeight="1" defaultRowHeight="14.25"/>
  <cols>
    <col min="1" max="2" style="13269" width="9.140625" hidden="1"/>
    <col min="3" max="3" style="13270" width="3.00390625" customWidth="1"/>
    <col min="4" max="4" style="13269" width="6.00390625" customWidth="1"/>
    <col min="5" max="5" style="13269" width="94.00390625" customWidth="1"/>
    <col min="6" max="9" style="13269" width="8.00390625" customWidth="1"/>
    <col min="10" max="10" style="13269"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2027</v>
      </c>
      <c r="E7" s="2611"/>
      <c r="F7" s="380"/>
      <c r="J7" s="182">
        <v>22</v>
      </c>
    </row>
    <row customHeight="1" ht="3">
      <c r="C8" s="205"/>
      <c r="D8" s="183"/>
      <c r="E8" s="183"/>
      <c r="J8" s="182">
        <v>3</v>
      </c>
    </row>
    <row customHeight="1" ht="16.8">
      <c r="C9" s="205"/>
      <c r="D9" s="218" t="s">
        <v>88</v>
      </c>
      <c r="E9" s="373" t="s">
        <v>2028</v>
      </c>
      <c r="J9" s="182">
        <v>16</v>
      </c>
    </row>
    <row customHeight="1" ht="1.05">
      <c r="C10" s="205"/>
      <c r="D10" s="200"/>
      <c r="E10" s="200"/>
      <c r="J10" s="182">
        <v>1</v>
      </c>
    </row>
    <row customHeight="1" ht="11.25" hidden="1">
      <c r="C11" s="205"/>
      <c r="D11" s="263">
        <v>0</v>
      </c>
      <c r="E11" s="374"/>
      <c r="J11" s="182">
        <v>0</v>
      </c>
    </row>
    <row customHeight="1" ht="15.75">
      <c r="C12" s="249"/>
      <c r="D12" s="226">
        <v>1</v>
      </c>
      <c r="E12" s="7761" t="s">
        <v>2029</v>
      </c>
      <c r="J12" s="182">
        <v>15</v>
      </c>
    </row>
    <row customHeight="1" ht="12.75">
      <c r="C13" s="205"/>
      <c r="D13" s="375"/>
      <c r="E13" s="376" t="s">
        <v>2030</v>
      </c>
      <c r="J13" s="182">
        <v>12</v>
      </c>
    </row>
    <row customHeight="1" ht="3">
      <c r="J14" s="182">
        <v>3</v>
      </c>
    </row>
    <row customHeight="1" ht="23.25">
      <c r="C15" s="250"/>
      <c r="D15" s="2612" t="s">
        <v>2031</v>
      </c>
      <c r="E15" s="2612"/>
      <c r="F15" s="251"/>
      <c r="G15" s="251"/>
      <c r="H15" s="251"/>
      <c r="I15" s="251"/>
      <c r="J15" s="182">
        <v>22</v>
      </c>
    </row>
    <row customHeight="1" ht="14.25" hidden="1">
      <c r="A16" s="182" t="s">
        <v>82</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8A3D23-473E-1A1F-06A7-72461948442D}"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3269" width="9.140625" hidden="1"/>
    <col min="3" max="3" style="13270" width="3.00390625" customWidth="1"/>
    <col min="4" max="4" style="13269" width="6.00390625" customWidth="1"/>
    <col min="5" max="5" style="13269" width="94.00390625" customWidth="1"/>
    <col min="6" max="12" style="13269" width="8.00390625" customWidth="1"/>
    <col min="13" max="13" style="13269"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2032</v>
      </c>
      <c r="E7" s="2213"/>
      <c r="F7" s="380"/>
      <c r="M7" s="182">
        <v>22</v>
      </c>
    </row>
    <row customHeight="1" ht="3">
      <c r="C8" s="205"/>
      <c r="D8" s="183"/>
      <c r="E8" s="183"/>
      <c r="M8" s="182">
        <v>3</v>
      </c>
    </row>
    <row customHeight="1" ht="16.8">
      <c r="C9" s="205"/>
      <c r="D9" s="218" t="s">
        <v>88</v>
      </c>
      <c r="E9" s="221" t="s">
        <v>415</v>
      </c>
      <c r="M9" s="182">
        <v>16</v>
      </c>
    </row>
    <row customHeight="1" ht="12.75">
      <c r="C10" s="205"/>
      <c r="D10" s="200" t="s">
        <v>187</v>
      </c>
      <c r="E10" s="200" t="s">
        <v>104</v>
      </c>
      <c r="M10" s="182">
        <v>12</v>
      </c>
    </row>
    <row customHeight="1" ht="15" hidden="1">
      <c r="C11" s="205"/>
      <c r="D11" s="226">
        <v>0</v>
      </c>
      <c r="E11" s="262"/>
      <c r="M11" s="182">
        <v>0</v>
      </c>
    </row>
    <row customHeight="1" ht="14.699999999999998">
      <c r="C12" s="205"/>
      <c r="D12" s="222"/>
      <c r="E12" s="220" t="s">
        <v>2030</v>
      </c>
      <c r="M12" s="182">
        <v>14</v>
      </c>
    </row>
    <row customHeight="1" ht="14.25" hidden="1">
      <c r="A13" s="182" t="s">
        <v>82</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C63E0A-5827-9B63-3634-3F3D024CB01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415" width="1.7109375" customWidth="1"/>
    <col min="2" max="2" style="8415" width="34.57421875" customWidth="1"/>
    <col min="3" max="3" style="8415" width="85.00390625" customWidth="1"/>
    <col min="4" max="4" style="8415" width="17.00390625" customWidth="1"/>
    <col min="5" max="5" style="8415" width="8.00390625" customWidth="1"/>
    <col min="6" max="6" style="8415" width="9.140625" hidden="1"/>
  </cols>
  <sheetData>
    <row customHeight="1" ht="3">
      <c r="F1" s="202" t="s">
        <v>14</v>
      </c>
    </row>
    <row customHeight="1" ht="22.5">
      <c r="B2" s="2726" t="s">
        <v>2033</v>
      </c>
      <c r="C2" s="2613"/>
      <c r="D2" s="2613"/>
      <c r="E2" s="381"/>
      <c r="F2" s="202">
        <v>22</v>
      </c>
    </row>
    <row customHeight="1" ht="3">
      <c r="F3" s="202">
        <v>3</v>
      </c>
    </row>
    <row customHeight="1" ht="23.25">
      <c r="B4" s="2727" t="s">
        <v>2034</v>
      </c>
      <c r="C4" s="496" t="s">
        <v>2035</v>
      </c>
      <c r="D4" s="496" t="s">
        <v>2036</v>
      </c>
      <c r="F4" s="202">
        <v>22</v>
      </c>
    </row>
    <row customHeight="1" ht="11.25" hidden="1">
      <c r="A5" s="202" t="s">
        <v>82</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F51A08-D55E-CD32-73B2-CEEA353CE50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415" width="26.57421875" customWidth="1"/>
    <col min="2" max="2" style="8415" width="10.00390625" customWidth="1"/>
    <col min="3" max="3" style="8415" width="9.140625"/>
    <col min="4" max="4" style="8415" width="11.140625" customWidth="1"/>
    <col min="5" max="5" style="8415" width="16.57421875" customWidth="1"/>
    <col min="6" max="6" style="8415" width="16.28125" customWidth="1"/>
    <col min="7" max="7" style="8415" width="19.140625" customWidth="1"/>
    <col min="8" max="11" style="8415" width="10.00390625" customWidth="1"/>
    <col min="12" max="12" style="8415" width="12.7109375" customWidth="1"/>
    <col min="13" max="13" style="8415" width="61.28125" customWidth="1"/>
    <col min="14" max="14" style="8415" width="10.00390625" customWidth="1"/>
    <col min="15" max="17" style="8415" width="23.7109375" customWidth="1"/>
    <col min="18" max="18" style="8415" width="11.7109375" customWidth="1"/>
    <col min="19" max="19" style="8415" width="8.57421875" customWidth="1"/>
    <col min="20" max="20" style="8415" width="11.7109375" customWidth="1"/>
    <col min="21" max="21" style="8415" width="8.57421875" customWidth="1"/>
    <col min="22" max="22" style="8415" width="4.7109375" customWidth="1"/>
    <col min="23" max="23" style="8415" width="115.7109375" customWidth="1"/>
    <col min="24" max="24" style="8415" width="115.28125" customWidth="1"/>
    <col min="25" max="27" style="8415" width="9.140625"/>
    <col min="28" max="28" style="8415" width="115.7109375" customWidth="1"/>
    <col min="29" max="29" style="8415" width="9.140625"/>
    <col min="30" max="90" style="8415" width="115.7109375" customWidth="1"/>
    <col min="91" max="184" style="8415" width="9.140625"/>
  </cols>
  <sheetData>
    <row r="2" s="13280" customFormat="1" customHeight="1" ht="17.25">
      <c r="A2" s="1928" t="s">
        <v>2037</v>
      </c>
    </row>
    <row r="4" s="13269" customFormat="1" customHeight="1" ht="15">
      <c r="C4" s="1929"/>
      <c r="D4" s="226"/>
      <c r="E4" s="490"/>
    </row>
    <row r="6" s="13280" customFormat="1" customHeight="1" ht="17.25">
      <c r="A6" s="1928" t="s">
        <v>2038</v>
      </c>
    </row>
    <row r="8" s="13269" customFormat="1" customHeight="1" ht="17.25">
      <c r="C8" s="1930"/>
      <c r="D8" s="226"/>
      <c r="E8" s="227"/>
    </row>
    <row r="11" s="13280" customFormat="1" customHeight="1" ht="17.25">
      <c r="A11" s="1928" t="s">
        <v>2039</v>
      </c>
    </row>
    <row r="13" s="8370" customFormat="1" customHeight="1" ht="15">
      <c r="A13" s="2330">
        <v>1</v>
      </c>
      <c r="B13" s="1273"/>
      <c r="C13" s="914" t="s">
        <v>105</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8415"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8415" customFormat="1" customHeight="1" ht="15">
      <c r="A15" s="2330"/>
      <c r="B15" s="1273"/>
      <c r="C15" s="525"/>
      <c r="D15" s="914"/>
      <c r="E15" s="534"/>
      <c r="F15" s="290"/>
      <c r="G15" s="528" t="s">
        <v>103</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13280" customFormat="1" customHeight="1" ht="17.25">
      <c r="A17" s="1928" t="s">
        <v>2040</v>
      </c>
    </row>
    <row r="19" s="8415" customFormat="1" customHeight="1" ht="15">
      <c r="A19" s="1995"/>
      <c r="B19" s="1479">
        <v>1</v>
      </c>
      <c r="C19" s="1479"/>
      <c r="D19" s="913" t="s">
        <v>105</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8415" customFormat="1" customHeight="1" ht="15">
      <c r="A21" s="1928" t="s">
        <v>2041</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8415" customFormat="1" customHeight="1" ht="15">
      <c r="U22" s="298"/>
    </row>
    <row s="8491" customFormat="1" customHeight="1" ht="15">
      <c r="A23" s="536"/>
      <c r="B23" s="536"/>
      <c r="C23" s="1841" t="s">
        <v>105</v>
      </c>
      <c r="D23" s="2221" t="s">
        <v>187</v>
      </c>
      <c r="E23" s="2222"/>
      <c r="F23" s="2220" t="s">
        <v>19</v>
      </c>
      <c r="G23" s="2670"/>
      <c r="H23" s="2240">
        <v>1</v>
      </c>
      <c r="I23" s="2672" t="str">
        <f>IF(U23="","",INDEX(TERRITORY_MR_LIST,MATCH(U23,TERRITORY_LIST_ID,0)))</f>
        <v/>
      </c>
      <c r="J23" s="2220" t="s">
        <v>19</v>
      </c>
      <c r="K23" s="945"/>
      <c r="L23" s="1895" t="s">
        <v>187</v>
      </c>
      <c r="M23" s="716"/>
      <c r="N23" s="717"/>
      <c r="O23" s="717"/>
      <c r="P23" s="717"/>
      <c r="Q23" s="717"/>
      <c r="R23" s="717"/>
      <c r="S23" s="717"/>
      <c r="T23" s="717"/>
      <c r="U23" s="718"/>
      <c r="V23" s="717"/>
      <c r="W23" s="717"/>
      <c r="X23" s="708"/>
      <c r="Y23" s="708" t="s">
        <v>193</v>
      </c>
      <c r="Z23" s="708">
        <v>1705000</v>
      </c>
      <c r="AA23" s="708"/>
      <c r="AB23" s="708"/>
      <c r="AC23" s="708"/>
      <c r="AD23" s="708"/>
      <c r="AE23" s="708"/>
      <c r="AF23" s="708"/>
      <c r="AG23" s="708"/>
      <c r="AH23" s="708"/>
      <c r="AI23" s="708"/>
      <c r="AJ23" s="708"/>
      <c r="AK23" s="708"/>
      <c r="AL23" s="708"/>
    </row>
    <row s="8491" customFormat="1" customHeight="1" ht="15">
      <c r="A24" s="536"/>
      <c r="B24" s="536"/>
      <c r="C24" s="289"/>
      <c r="D24" s="2221"/>
      <c r="E24" s="2223"/>
      <c r="F24" s="2220"/>
      <c r="G24" s="2671"/>
      <c r="H24" s="2240"/>
      <c r="I24" s="2673"/>
      <c r="J24" s="2220"/>
      <c r="K24" s="534"/>
      <c r="L24" s="290"/>
      <c r="M24" s="720" t="s">
        <v>194</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8491" customFormat="1" customHeight="1" ht="15">
      <c r="A25" s="536"/>
      <c r="B25" s="536"/>
      <c r="C25" s="289"/>
      <c r="D25" s="2221"/>
      <c r="E25" s="2224"/>
      <c r="F25" s="2220"/>
      <c r="G25" s="534"/>
      <c r="H25" s="290"/>
      <c r="I25" s="693" t="s">
        <v>195</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8415" customFormat="1" customHeight="1" ht="15">
      <c r="U26" s="298"/>
    </row>
    <row s="8415" customFormat="1" customHeight="1" ht="15">
      <c r="A27" s="1928" t="s">
        <v>2042</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8415" customFormat="1" customHeight="1" ht="15">
      <c r="U28" s="298"/>
    </row>
    <row s="8491" customFormat="1" customHeight="1" ht="15">
      <c r="A29" s="536"/>
      <c r="B29" s="536"/>
      <c r="C29" s="289"/>
      <c r="D29" s="1934"/>
      <c r="E29" s="1934"/>
      <c r="F29" s="1934"/>
      <c r="G29" s="2674" t="s">
        <v>105</v>
      </c>
      <c r="H29" s="2216">
        <v>1</v>
      </c>
      <c r="I29" s="2675" t="str">
        <f>IF(U29="","",INDEX(TERRITORY_MR_LIST,MATCH(U29,TERRITORY_LIST_ID,0)))</f>
        <v/>
      </c>
      <c r="J29" s="2220" t="s">
        <v>19</v>
      </c>
      <c r="K29" s="945"/>
      <c r="L29" s="1895" t="s">
        <v>187</v>
      </c>
      <c r="M29" s="716"/>
      <c r="N29" s="717"/>
      <c r="O29" s="717"/>
      <c r="P29" s="717"/>
      <c r="Q29" s="717"/>
      <c r="R29" s="717"/>
      <c r="S29" s="717"/>
      <c r="T29" s="717"/>
      <c r="U29" s="718"/>
      <c r="V29" s="717"/>
      <c r="W29" s="717"/>
      <c r="X29" s="708"/>
      <c r="Y29" s="708" t="s">
        <v>193</v>
      </c>
      <c r="Z29" s="708">
        <v>1705000</v>
      </c>
      <c r="AA29" s="708"/>
      <c r="AB29" s="708"/>
      <c r="AC29" s="708"/>
      <c r="AD29" s="708"/>
      <c r="AE29" s="708"/>
      <c r="AF29" s="708"/>
      <c r="AG29" s="708"/>
      <c r="AH29" s="708"/>
      <c r="AI29" s="708"/>
      <c r="AJ29" s="708"/>
      <c r="AK29" s="708"/>
      <c r="AL29" s="708"/>
    </row>
    <row s="8491" customFormat="1" customHeight="1" ht="15">
      <c r="A30" s="536"/>
      <c r="B30" s="536"/>
      <c r="C30" s="289"/>
      <c r="D30" s="1934"/>
      <c r="E30" s="1934"/>
      <c r="F30" s="1934"/>
      <c r="G30" s="2674"/>
      <c r="H30" s="2216"/>
      <c r="I30" s="2675"/>
      <c r="J30" s="2220"/>
      <c r="K30" s="534"/>
      <c r="L30" s="290"/>
      <c r="M30" s="720" t="s">
        <v>194</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8415" customFormat="1" customHeight="1" ht="15">
      <c r="U31" s="298"/>
    </row>
    <row s="8415" customFormat="1" customHeight="1" ht="15">
      <c r="A32" s="1928" t="s">
        <v>2043</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8415" customFormat="1" customHeight="1" ht="15">
      <c r="U33" s="298"/>
    </row>
    <row s="8491" customFormat="1" customHeight="1" ht="15">
      <c r="A34" s="536"/>
      <c r="B34" s="536"/>
      <c r="C34" s="289"/>
      <c r="D34" s="1934"/>
      <c r="E34" s="1934"/>
      <c r="F34" s="1934"/>
      <c r="G34" s="1934"/>
      <c r="H34" s="1934"/>
      <c r="I34" s="1934"/>
      <c r="J34" s="1934"/>
      <c r="K34" s="1912" t="s">
        <v>105</v>
      </c>
      <c r="L34" s="1842" t="s">
        <v>187</v>
      </c>
      <c r="M34" s="924"/>
      <c r="N34" s="925"/>
      <c r="O34" s="717"/>
      <c r="P34" s="717"/>
      <c r="Q34" s="717"/>
      <c r="R34" s="717"/>
      <c r="S34" s="717"/>
      <c r="T34" s="717"/>
      <c r="U34" s="718"/>
      <c r="V34" s="717"/>
      <c r="W34" s="717"/>
      <c r="X34" s="708"/>
      <c r="Y34" s="708" t="s">
        <v>193</v>
      </c>
      <c r="Z34" s="708">
        <v>1705000</v>
      </c>
      <c r="AA34" s="708"/>
      <c r="AB34" s="708"/>
      <c r="AC34" s="708"/>
      <c r="AD34" s="708"/>
      <c r="AE34" s="708"/>
      <c r="AF34" s="708"/>
      <c r="AG34" s="708"/>
      <c r="AH34" s="708"/>
      <c r="AI34" s="708"/>
      <c r="AJ34" s="708"/>
      <c r="AK34" s="708"/>
      <c r="AL34" s="708"/>
    </row>
    <row s="8415" customFormat="1" customHeight="1" ht="15">
      <c r="U35" s="298"/>
    </row>
    <row s="8415" customFormat="1" customHeight="1" ht="15">
      <c r="U36" s="298"/>
    </row>
    <row s="13280" customFormat="1" customHeight="1" ht="11.25">
      <c r="A37" s="1928" t="s">
        <v>2044</v>
      </c>
    </row>
    <row customHeight="1" ht="11.25"/>
    <row s="8918" customFormat="1" customHeight="1" ht="22.5">
      <c r="A39" s="1904"/>
      <c r="B39" s="570"/>
      <c r="C39" s="972"/>
      <c r="D39" s="553"/>
      <c r="E39" s="973"/>
      <c r="F39" s="1925"/>
      <c r="G39" s="1935"/>
      <c r="H39" s="588"/>
    </row>
    <row customHeight="1" ht="11.25"/>
    <row s="13280" customFormat="1" customHeight="1" ht="11.25">
      <c r="A41" s="1928" t="s">
        <v>2045</v>
      </c>
    </row>
    <row customHeight="1" ht="11.25"/>
    <row s="8918" customFormat="1" customHeight="1" ht="22.5">
      <c r="A43" s="570"/>
      <c r="B43" s="570"/>
      <c r="C43" s="570"/>
      <c r="D43" s="553"/>
      <c r="E43" s="973"/>
      <c r="F43" s="974"/>
      <c r="G43" s="1935"/>
      <c r="H43" s="588"/>
    </row>
    <row customHeight="1" ht="11.25"/>
    <row s="13280" customFormat="1" customHeight="1" ht="11.25">
      <c r="A45" s="1928" t="s">
        <v>2046</v>
      </c>
    </row>
    <row customHeight="1" ht="11.25"/>
    <row s="8918" customFormat="1" customHeight="1" ht="24">
      <c r="A47" s="2315" t="s">
        <v>441</v>
      </c>
      <c r="B47" s="615"/>
      <c r="C47" s="2326"/>
      <c r="D47" s="558" t="str">
        <f>A47</f>
        <v>5.1</v>
      </c>
      <c r="E47" s="555" t="s">
        <v>442</v>
      </c>
      <c r="F47" s="2089" t="s">
        <v>434</v>
      </c>
      <c r="G47" s="557" t="s">
        <v>443</v>
      </c>
      <c r="H47" s="588"/>
      <c r="I47" s="965"/>
    </row>
    <row s="8918" customFormat="1" customHeight="1" ht="22.5">
      <c r="A48" s="2315"/>
      <c r="B48" s="615"/>
      <c r="C48" s="2326"/>
      <c r="D48" s="553" t="str">
        <f>D47&amp;".1"</f>
        <v>5.1.1</v>
      </c>
      <c r="E48" s="552" t="s">
        <v>444</v>
      </c>
      <c r="F48" s="2090" t="s">
        <v>28</v>
      </c>
      <c r="G48" s="587"/>
      <c r="H48" s="588"/>
      <c r="I48" s="965"/>
    </row>
    <row s="8918" customFormat="1" customHeight="1" ht="22.5">
      <c r="A49" s="2315"/>
      <c r="B49" s="615"/>
      <c r="C49" s="2326"/>
      <c r="D49" s="553" t="str">
        <f>D47&amp;".2"</f>
        <v>5.1.2</v>
      </c>
      <c r="E49" s="552" t="s">
        <v>445</v>
      </c>
      <c r="F49" s="1845" t="s">
        <v>28</v>
      </c>
      <c r="G49" s="557" t="s">
        <v>446</v>
      </c>
      <c r="H49" s="588"/>
      <c r="I49" s="965"/>
    </row>
    <row s="8918" customFormat="1" customHeight="1" ht="22.5">
      <c r="A50" s="2315"/>
      <c r="B50" s="615"/>
      <c r="C50" s="2326"/>
      <c r="D50" s="553" t="str">
        <f>D47&amp;".3"</f>
        <v>5.1.3</v>
      </c>
      <c r="E50" s="552" t="s">
        <v>447</v>
      </c>
      <c r="F50" s="2090" t="s">
        <v>28</v>
      </c>
      <c r="G50" s="587"/>
      <c r="H50" s="588"/>
      <c r="I50" s="965"/>
    </row>
    <row s="8918" customFormat="1" customHeight="1" ht="22.5">
      <c r="A51" s="2315"/>
      <c r="B51" s="615"/>
      <c r="C51" s="2326"/>
      <c r="D51" s="553" t="str">
        <f>D47&amp;".4"</f>
        <v>5.1.4</v>
      </c>
      <c r="E51" s="552" t="s">
        <v>448</v>
      </c>
      <c r="F51" s="2090" t="s">
        <v>28</v>
      </c>
      <c r="G51" s="557" t="s">
        <v>449</v>
      </c>
      <c r="H51" s="588"/>
      <c r="I51" s="965"/>
    </row>
    <row r="54" s="13280" customFormat="1" customHeight="1" ht="17.25">
      <c r="A54" s="1928" t="s">
        <v>2047</v>
      </c>
    </row>
    <row r="56" s="8248" customFormat="1" customHeight="1" ht="18.75">
      <c r="A56" s="202"/>
      <c r="B56" s="1936"/>
      <c r="C56" s="1936"/>
      <c r="D56" s="1937"/>
      <c r="E56" s="1922"/>
      <c r="F56" s="981">
        <v>13</v>
      </c>
      <c r="G56" s="980"/>
      <c r="H56" s="906"/>
      <c r="I56" s="904"/>
      <c r="J56" s="633" t="s">
        <v>66</v>
      </c>
      <c r="K56" s="1938" t="s">
        <v>28</v>
      </c>
      <c r="L56" s="202"/>
      <c r="M56" s="1749"/>
      <c r="N56" s="1749"/>
      <c r="O56" s="1749"/>
      <c r="P56" s="629" t="s">
        <v>520</v>
      </c>
      <c r="Q56" s="629" t="s">
        <v>521</v>
      </c>
      <c r="R56" s="630" t="s">
        <v>522</v>
      </c>
      <c r="S56" s="1749" t="s">
        <v>523</v>
      </c>
      <c r="T56" s="1749"/>
      <c r="U56" s="1749"/>
      <c r="V56" s="1749"/>
    </row>
    <row r="58" s="13280" customFormat="1" customHeight="1" ht="11.25">
      <c r="A58" s="1928" t="s">
        <v>2048</v>
      </c>
    </row>
    <row r="60" s="8273"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509</v>
      </c>
      <c r="AQ60" s="1737" t="s">
        <v>509</v>
      </c>
      <c r="AR60" s="1749"/>
      <c r="AS60" s="1749"/>
    </row>
    <row r="62" s="13280" customFormat="1" customHeight="1" ht="11.25">
      <c r="A62" s="1928" t="s">
        <v>2049</v>
      </c>
    </row>
    <row r="64" s="12963" customFormat="1" customHeight="1" ht="15">
      <c r="A64" s="258" t="s">
        <v>90</v>
      </c>
      <c r="B64" s="238" t="s">
        <v>28</v>
      </c>
      <c r="C64" s="1939"/>
      <c r="D64" s="241"/>
      <c r="E64" s="494"/>
      <c r="F64" s="494"/>
      <c r="G64" s="1916"/>
      <c r="H64" s="1938"/>
      <c r="I64" s="1917"/>
      <c r="K64" s="385"/>
      <c r="L64" s="386"/>
    </row>
    <row r="66" s="13280" customFormat="1" customHeight="1" ht="11.25">
      <c r="A66" s="1928" t="s">
        <v>2050</v>
      </c>
    </row>
    <row r="68" s="8273" customFormat="1" customHeight="1" ht="14.25">
      <c r="A68" s="456"/>
      <c r="B68" s="1273"/>
      <c r="C68" s="489"/>
      <c r="D68" s="1923"/>
      <c r="E68" s="999"/>
      <c r="F68" s="1938"/>
      <c r="G68" s="202"/>
      <c r="I68" s="1737"/>
      <c r="J68" s="1737"/>
    </row>
    <row r="70" s="13280" customFormat="1" customHeight="1" ht="11.25">
      <c r="A70" s="1928" t="s">
        <v>2051</v>
      </c>
    </row>
    <row r="72" s="8273" customFormat="1" customHeight="1" ht="27">
      <c r="A72" s="1279"/>
      <c r="B72" s="1279"/>
      <c r="C72" s="1279"/>
      <c r="D72" s="1273"/>
      <c r="E72" s="1940"/>
      <c r="F72" s="2694"/>
      <c r="G72" s="2695"/>
      <c r="H72" s="2696" t="s">
        <v>66</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66</v>
      </c>
      <c r="Z72" s="1921"/>
      <c r="AA72" s="1905">
        <v>1</v>
      </c>
      <c r="AB72" s="1355"/>
      <c r="AD72" s="1749" t="s">
        <v>2052</v>
      </c>
    </row>
    <row s="8273"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2053</v>
      </c>
    </row>
    <row r="75" s="13280" customFormat="1" customHeight="1" ht="11.25">
      <c r="A75" s="1928" t="s">
        <v>2054</v>
      </c>
    </row>
    <row r="77" s="8273"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2052</v>
      </c>
    </row>
    <row r="79" s="13280" customFormat="1" customHeight="1" ht="11.25">
      <c r="A79" s="1928" t="s">
        <v>2055</v>
      </c>
    </row>
    <row customHeight="1" ht="17.25"/>
    <row s="8273"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8273" customFormat="1" customHeight="1" ht="0.75">
      <c r="A82" s="1279"/>
      <c r="B82" s="1279"/>
      <c r="C82" s="1279"/>
      <c r="D82" s="1273"/>
      <c r="E82" s="1283"/>
      <c r="F82" s="2649"/>
      <c r="G82" s="2628"/>
      <c r="H82" s="2653" t="s">
        <v>504</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8273"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8273"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8273"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8273"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8273" customFormat="1" customHeight="1" ht="12">
      <c r="A87" s="1279"/>
      <c r="B87" s="1279"/>
      <c r="C87" s="1279"/>
      <c r="D87" s="1273"/>
      <c r="E87" s="1283"/>
      <c r="F87" s="2650"/>
      <c r="G87" s="1303"/>
      <c r="H87" s="1303"/>
      <c r="I87" s="2648" t="s">
        <v>2056</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13280" customFormat="1" customHeight="1" ht="11.25">
      <c r="A89" s="1928" t="s">
        <v>2057</v>
      </c>
    </row>
    <row r="91" s="8273"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8273"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8273"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2058</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13280" customFormat="1" customHeight="1" ht="11.25">
      <c r="A95" s="1928" t="s">
        <v>2059</v>
      </c>
    </row>
    <row r="97" s="8273"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13280" customFormat="1" customHeight="1" ht="11.25">
      <c r="A99" s="1928" t="s">
        <v>2060</v>
      </c>
    </row>
    <row r="101" s="8273" customFormat="1" customHeight="1" ht="11.25">
      <c r="A101" s="1279"/>
      <c r="B101" s="1279"/>
      <c r="C101" s="1279"/>
      <c r="D101" s="1273"/>
      <c r="E101" s="1283"/>
      <c r="F101" s="1942"/>
      <c r="G101" s="1943"/>
      <c r="H101" s="2628" t="s">
        <v>187</v>
      </c>
      <c r="I101" s="2629"/>
      <c r="J101" s="2598"/>
      <c r="K101" s="2630"/>
      <c r="L101" s="2220" t="s">
        <v>19</v>
      </c>
      <c r="M101" s="2221"/>
      <c r="N101" s="2099"/>
      <c r="O101" s="1290" t="s">
        <v>504</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8273"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8273"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8273"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2058</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8273" customFormat="1" customHeight="1" ht="11.25">
      <c r="A105" s="1279"/>
      <c r="B105" s="1279"/>
      <c r="C105" s="1279"/>
      <c r="D105" s="1273"/>
      <c r="E105" s="1283"/>
      <c r="F105" s="1942"/>
      <c r="G105" s="1943"/>
      <c r="H105" s="2628"/>
      <c r="I105" s="2629"/>
      <c r="J105" s="2598"/>
      <c r="K105" s="2630"/>
      <c r="L105" s="2220"/>
      <c r="M105" s="2221"/>
      <c r="N105" s="1288"/>
      <c r="O105" s="1289"/>
      <c r="P105" s="1281" t="s">
        <v>2061</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13280" customFormat="1" customHeight="1" ht="11.25">
      <c r="A107" s="1928" t="s">
        <v>2062</v>
      </c>
    </row>
    <row customHeight="1" ht="17.25"/>
    <row s="12810"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12810"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12810" customFormat="1" customHeight="1" ht="12">
      <c r="A111" s="1037"/>
      <c r="B111" s="1036"/>
      <c r="C111" s="1037"/>
      <c r="D111" s="1037"/>
      <c r="E111" s="1037"/>
      <c r="F111" s="1326"/>
      <c r="G111" s="1913" t="s">
        <v>2063</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13280" customFormat="1" customHeight="1" ht="11.25">
      <c r="A113" s="1928" t="s">
        <v>2064</v>
      </c>
    </row>
    <row r="115" s="8415" customFormat="1" customHeight="1" ht="15">
      <c r="A115" s="736"/>
      <c r="B115" s="737"/>
      <c r="C115" s="737"/>
      <c r="D115" s="2691" t="s">
        <v>187</v>
      </c>
      <c r="E115" s="2490" t="s">
        <v>183</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738</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8415" customFormat="1" customHeight="1" ht="15">
      <c r="A116" s="736"/>
      <c r="B116" s="737"/>
      <c r="C116" s="737"/>
      <c r="D116" s="2692"/>
      <c r="E116" s="2490" t="s">
        <v>693</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8415" customFormat="1" customHeight="1" ht="15">
      <c r="A117" s="736"/>
      <c r="B117" s="737"/>
      <c r="C117" s="737"/>
      <c r="D117" s="2692"/>
      <c r="E117" s="2490" t="s">
        <v>694</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8415" customFormat="1" customHeight="1" ht="24.75">
      <c r="A118" s="1919"/>
      <c r="B118" s="1273"/>
      <c r="C118" s="525"/>
      <c r="D118" s="2692"/>
      <c r="E118" s="2489" t="s">
        <v>739</v>
      </c>
      <c r="F118" s="2489"/>
      <c r="G118" s="2489"/>
      <c r="H118" s="2489"/>
      <c r="I118" s="2489"/>
      <c r="J118" s="2489"/>
      <c r="K118" s="2489"/>
      <c r="L118" s="2489"/>
      <c r="M118" s="2489"/>
      <c r="N118" s="2489"/>
      <c r="O118" s="2489"/>
      <c r="P118" s="2489"/>
      <c r="Q118" s="671">
        <f>SUMIF(T119:T120,"i",Q119:Q120)</f>
        <v>0</v>
      </c>
      <c r="R118" s="1130"/>
      <c r="S118" s="1911" t="s">
        <v>740</v>
      </c>
      <c r="T118" s="830" t="s">
        <v>741</v>
      </c>
      <c r="U118" s="2487">
        <v>1</v>
      </c>
      <c r="V118" s="2487" t="s">
        <v>704</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8415"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8415" customFormat="1" customHeight="1" ht="11.25">
      <c r="A120" s="1919"/>
      <c r="B120" s="1273"/>
      <c r="C120" s="525"/>
      <c r="D120" s="2692"/>
      <c r="E120" s="762" t="s">
        <v>28</v>
      </c>
      <c r="F120" s="1281" t="s">
        <v>28</v>
      </c>
      <c r="G120" s="1281" t="s">
        <v>2065</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8415" customFormat="1" customHeight="1" ht="24.75">
      <c r="A121" s="1919"/>
      <c r="B121" s="1273"/>
      <c r="C121" s="525"/>
      <c r="D121" s="2692"/>
      <c r="E121" s="2489" t="s">
        <v>742</v>
      </c>
      <c r="F121" s="2489"/>
      <c r="G121" s="2489"/>
      <c r="H121" s="2489"/>
      <c r="I121" s="2489"/>
      <c r="J121" s="2489"/>
      <c r="K121" s="2489"/>
      <c r="L121" s="2489"/>
      <c r="M121" s="2489"/>
      <c r="N121" s="2489"/>
      <c r="O121" s="2489"/>
      <c r="P121" s="2489"/>
      <c r="Q121" s="671">
        <f>SUMIF(T122:T123,"i",Q122:Q123)</f>
        <v>0</v>
      </c>
      <c r="R121" s="1130"/>
      <c r="S121" s="1911" t="s">
        <v>743</v>
      </c>
      <c r="T121" s="830" t="s">
        <v>741</v>
      </c>
      <c r="U121" s="2487">
        <v>1</v>
      </c>
      <c r="V121" s="2487" t="s">
        <v>704</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8415"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8415" customFormat="1" customHeight="1" ht="11.25">
      <c r="A123" s="1919"/>
      <c r="B123" s="1273"/>
      <c r="C123" s="525"/>
      <c r="D123" s="2693"/>
      <c r="E123" s="762" t="s">
        <v>28</v>
      </c>
      <c r="F123" s="1281" t="s">
        <v>28</v>
      </c>
      <c r="G123" s="1281" t="s">
        <v>2065</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13280" customFormat="1" customHeight="1" ht="11.25">
      <c r="A125" s="1928" t="s">
        <v>2066</v>
      </c>
    </row>
    <row r="127" s="8415" customFormat="1" customHeight="1" ht="15">
      <c r="A127" s="736"/>
      <c r="B127" s="737"/>
      <c r="C127" s="737"/>
      <c r="D127" s="2691" t="s">
        <v>187</v>
      </c>
      <c r="E127" s="2490" t="s">
        <v>183</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738</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8415" customFormat="1" customHeight="1" ht="15">
      <c r="A128" s="736"/>
      <c r="B128" s="737"/>
      <c r="C128" s="737"/>
      <c r="D128" s="2692"/>
      <c r="E128" s="2490" t="s">
        <v>693</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8415" customFormat="1" customHeight="1" ht="15">
      <c r="A129" s="736"/>
      <c r="B129" s="737"/>
      <c r="C129" s="737"/>
      <c r="D129" s="2692"/>
      <c r="E129" s="2490" t="s">
        <v>694</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8415" customFormat="1" customHeight="1" ht="24.75">
      <c r="A130" s="1919"/>
      <c r="B130" s="1273"/>
      <c r="C130" s="525"/>
      <c r="D130" s="2692"/>
      <c r="E130" s="2489" t="s">
        <v>739</v>
      </c>
      <c r="F130" s="2489"/>
      <c r="G130" s="2489"/>
      <c r="H130" s="2489"/>
      <c r="I130" s="2489"/>
      <c r="J130" s="2489"/>
      <c r="K130" s="2489"/>
      <c r="L130" s="2489"/>
      <c r="M130" s="2489"/>
      <c r="N130" s="2489"/>
      <c r="O130" s="2489"/>
      <c r="P130" s="2489"/>
      <c r="Q130" s="671">
        <f>SUMIF(T131:T132,"i",Q131:Q132)</f>
        <v>0</v>
      </c>
      <c r="R130" s="1130"/>
      <c r="S130" s="1911" t="s">
        <v>740</v>
      </c>
      <c r="T130" s="830" t="s">
        <v>741</v>
      </c>
      <c r="U130" s="2487">
        <v>1</v>
      </c>
      <c r="V130" s="2487" t="s">
        <v>704</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8415"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8415" customFormat="1" customHeight="1" ht="11.25">
      <c r="A132" s="1919"/>
      <c r="B132" s="1273"/>
      <c r="C132" s="525"/>
      <c r="D132" s="2692"/>
      <c r="E132" s="762" t="s">
        <v>28</v>
      </c>
      <c r="F132" s="1281" t="s">
        <v>28</v>
      </c>
      <c r="G132" s="1281" t="s">
        <v>2065</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8755"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741</v>
      </c>
      <c r="U133" s="2487">
        <v>1</v>
      </c>
      <c r="V133" s="2487" t="s">
        <v>704</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8755"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8755"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13280" customFormat="1" customHeight="1" ht="11.25">
      <c r="A137" s="1928" t="s">
        <v>2067</v>
      </c>
    </row>
    <row r="139" s="8415" customFormat="1" customHeight="1" ht="45">
      <c r="A139" s="1919"/>
      <c r="B139" s="1273"/>
      <c r="C139" s="525"/>
      <c r="D139" s="202"/>
      <c r="E139" s="2685"/>
      <c r="F139" s="2221" t="s">
        <v>187</v>
      </c>
      <c r="G139" s="2688" t="s">
        <v>28</v>
      </c>
      <c r="H139" s="402"/>
      <c r="I139" s="750" t="s">
        <v>187</v>
      </c>
      <c r="J139" s="1920" t="s">
        <v>2068</v>
      </c>
      <c r="K139" s="751" t="s">
        <v>675</v>
      </c>
      <c r="L139" s="2337" t="s">
        <v>675</v>
      </c>
      <c r="M139" s="2690"/>
      <c r="N139" s="751" t="s">
        <v>675</v>
      </c>
      <c r="O139" s="751" t="s">
        <v>675</v>
      </c>
      <c r="P139" s="751" t="s">
        <v>675</v>
      </c>
      <c r="Q139" s="752">
        <f>SUM(Q140:Q142)</f>
        <v>0</v>
      </c>
      <c r="R139" s="752">
        <f>IF(R136=0,0,(Q136/R136)*100)</f>
        <v>0</v>
      </c>
      <c r="S139" s="2292"/>
      <c r="T139" s="830" t="s">
        <v>741</v>
      </c>
      <c r="U139" s="202"/>
      <c r="V139" s="202"/>
      <c r="AC139" s="202"/>
    </row>
    <row s="8415" customFormat="1" customHeight="1" ht="11.25">
      <c r="A140" s="1919"/>
      <c r="B140" s="1273"/>
      <c r="C140" s="525"/>
      <c r="D140" s="202"/>
      <c r="E140" s="2686"/>
      <c r="F140" s="2221"/>
      <c r="G140" s="2688"/>
      <c r="H140" s="2240"/>
      <c r="I140" s="2628" t="s">
        <v>1150</v>
      </c>
      <c r="J140" s="2682"/>
      <c r="K140" s="2683"/>
      <c r="L140" s="753"/>
      <c r="M140" s="754" t="s">
        <v>187</v>
      </c>
      <c r="N140" s="1908"/>
      <c r="O140" s="755"/>
      <c r="P140" s="756"/>
      <c r="Q140" s="755"/>
      <c r="R140" s="757">
        <v>0</v>
      </c>
      <c r="S140" s="2292"/>
      <c r="T140" s="830"/>
      <c r="U140" s="202"/>
      <c r="V140" s="202"/>
      <c r="AC140" s="202"/>
    </row>
    <row s="8415" customFormat="1" customHeight="1" ht="11.25">
      <c r="A141" s="1919"/>
      <c r="B141" s="1273"/>
      <c r="C141" s="525"/>
      <c r="D141" s="202"/>
      <c r="E141" s="2686"/>
      <c r="F141" s="2221"/>
      <c r="G141" s="2688"/>
      <c r="H141" s="2240"/>
      <c r="I141" s="2628"/>
      <c r="J141" s="2682"/>
      <c r="K141" s="2684"/>
      <c r="L141" s="758"/>
      <c r="M141" s="759"/>
      <c r="N141" s="760" t="s">
        <v>2069</v>
      </c>
      <c r="O141" s="760"/>
      <c r="P141" s="760"/>
      <c r="Q141" s="760"/>
      <c r="R141" s="761"/>
      <c r="S141" s="2292"/>
      <c r="T141" s="830"/>
      <c r="U141" s="202"/>
      <c r="V141" s="202"/>
      <c r="AC141" s="202"/>
    </row>
    <row s="8415" customFormat="1" customHeight="1" ht="11.25">
      <c r="A142" s="1919"/>
      <c r="B142" s="1273"/>
      <c r="C142" s="525"/>
      <c r="D142" s="202"/>
      <c r="E142" s="2687"/>
      <c r="F142" s="2221"/>
      <c r="G142" s="2689"/>
      <c r="H142" s="758" t="s">
        <v>28</v>
      </c>
      <c r="I142" s="759"/>
      <c r="J142" s="760" t="s">
        <v>2070</v>
      </c>
      <c r="K142" s="760"/>
      <c r="L142" s="760"/>
      <c r="M142" s="760"/>
      <c r="N142" s="760"/>
      <c r="O142" s="760"/>
      <c r="P142" s="760"/>
      <c r="Q142" s="760"/>
      <c r="R142" s="761"/>
      <c r="S142" s="2292"/>
      <c r="T142" s="830"/>
      <c r="U142" s="202"/>
      <c r="V142" s="202"/>
      <c r="AC142" s="202"/>
    </row>
    <row r="147" s="8415" customFormat="1" customHeight="1" ht="11.25">
      <c r="A147" s="1919"/>
      <c r="B147" s="1273"/>
      <c r="C147" s="525"/>
      <c r="D147" s="202"/>
      <c r="E147" s="1943"/>
      <c r="F147" s="1943"/>
      <c r="G147" s="1943"/>
      <c r="H147" s="2240"/>
      <c r="I147" s="2628" t="s">
        <v>1150</v>
      </c>
      <c r="J147" s="2682"/>
      <c r="K147" s="2683"/>
      <c r="L147" s="753"/>
      <c r="M147" s="754" t="s">
        <v>187</v>
      </c>
      <c r="N147" s="1908"/>
      <c r="O147" s="755"/>
      <c r="P147" s="756"/>
      <c r="Q147" s="755"/>
      <c r="R147" s="757">
        <v>0</v>
      </c>
      <c r="S147" s="202"/>
      <c r="T147" s="830"/>
      <c r="U147" s="202"/>
      <c r="V147" s="202"/>
      <c r="AC147" s="202"/>
    </row>
    <row s="8415" customFormat="1" customHeight="1" ht="11.25">
      <c r="A148" s="1919"/>
      <c r="B148" s="1273"/>
      <c r="C148" s="525"/>
      <c r="D148" s="202"/>
      <c r="E148" s="1943"/>
      <c r="F148" s="1943"/>
      <c r="G148" s="1943"/>
      <c r="H148" s="2240"/>
      <c r="I148" s="2628"/>
      <c r="J148" s="2682"/>
      <c r="K148" s="2684"/>
      <c r="L148" s="758"/>
      <c r="M148" s="759"/>
      <c r="N148" s="760" t="s">
        <v>2069</v>
      </c>
      <c r="O148" s="760"/>
      <c r="P148" s="760"/>
      <c r="Q148" s="760"/>
      <c r="R148" s="761"/>
      <c r="S148" s="202"/>
      <c r="T148" s="830"/>
      <c r="U148" s="202"/>
      <c r="V148" s="202"/>
      <c r="AC148" s="202"/>
    </row>
    <row r="150" s="8415" customFormat="1" customHeight="1" ht="11.25">
      <c r="A150" s="1919"/>
      <c r="B150" s="1273"/>
      <c r="C150" s="525"/>
      <c r="D150" s="202"/>
      <c r="E150" s="1950"/>
      <c r="F150" s="1948"/>
      <c r="G150" s="1948"/>
      <c r="H150" s="1951"/>
      <c r="I150" s="1943"/>
      <c r="J150" s="1944"/>
      <c r="K150" s="1944"/>
      <c r="L150" s="753"/>
      <c r="M150" s="754" t="s">
        <v>187</v>
      </c>
      <c r="N150" s="1908"/>
      <c r="O150" s="755"/>
      <c r="P150" s="756"/>
      <c r="Q150" s="755"/>
      <c r="R150" s="757">
        <v>0</v>
      </c>
      <c r="S150" s="202"/>
      <c r="T150" s="830"/>
      <c r="U150" s="202"/>
      <c r="V150" s="202"/>
      <c r="AC150" s="202"/>
    </row>
    <row r="152" s="13280" customFormat="1" customHeight="1" ht="17.25">
      <c r="A152" s="1928" t="s">
        <v>2071</v>
      </c>
    </row>
    <row customHeight="1" ht="17.25">
      <c r="G153" s="1952"/>
      <c r="H153" s="1952"/>
      <c r="I153" s="1952"/>
      <c r="M153" s="1948"/>
    </row>
    <row s="8491" customFormat="1" customHeight="1" ht="17.25">
      <c r="A154" s="1953"/>
      <c r="C154" s="1955"/>
      <c r="D154" s="2642"/>
      <c r="E154" s="2256"/>
      <c r="F154" s="2258"/>
      <c r="G154" s="2644"/>
      <c r="H154" s="2642"/>
      <c r="I154" s="2642">
        <v>1</v>
      </c>
      <c r="J154" s="2614"/>
      <c r="K154" s="2298" t="s">
        <v>66</v>
      </c>
      <c r="L154" s="2221"/>
      <c r="M154" s="2221" t="s">
        <v>187</v>
      </c>
      <c r="N154" s="2617" t="str">
        <f>IF(Z154="","",INDEX(TERRITORY_MR_LIST,MATCH(Z154,TERRITORY_LIST_ID,0)))</f>
        <v/>
      </c>
      <c r="O154" s="2298" t="s">
        <v>66</v>
      </c>
      <c r="P154" s="2221"/>
      <c r="Q154" s="2221" t="s">
        <v>187</v>
      </c>
      <c r="R154" s="2615" t="s">
        <v>28</v>
      </c>
      <c r="S154" s="2220" t="s">
        <v>66</v>
      </c>
      <c r="T154" s="1924"/>
      <c r="U154" s="1924" t="s">
        <v>187</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8491"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542</v>
      </c>
      <c r="W155" s="432"/>
      <c r="Y155" s="1372"/>
      <c r="Z155" s="1372"/>
      <c r="AA155" s="1372"/>
      <c r="AB155" s="1372"/>
      <c r="AC155" s="1372"/>
      <c r="AD155" s="1372"/>
      <c r="AE155" s="1372"/>
      <c r="AF155" s="1372"/>
      <c r="AG155" s="1372"/>
      <c r="AH155" s="1372"/>
      <c r="AI155" s="1372"/>
      <c r="AJ155" s="1372"/>
      <c r="AK155" s="1372"/>
    </row>
    <row s="8491" customFormat="1" customHeight="1" ht="17.25">
      <c r="A156" s="1953"/>
      <c r="C156" s="1958"/>
      <c r="D156" s="2616"/>
      <c r="E156" s="2643"/>
      <c r="F156" s="2259"/>
      <c r="G156" s="2645"/>
      <c r="H156" s="2616"/>
      <c r="I156" s="2616"/>
      <c r="J156" s="2646"/>
      <c r="K156" s="2299"/>
      <c r="L156" s="2616"/>
      <c r="M156" s="2616"/>
      <c r="N156" s="2618"/>
      <c r="O156" s="2225"/>
      <c r="P156" s="430"/>
      <c r="Q156" s="431"/>
      <c r="R156" s="431" t="s">
        <v>298</v>
      </c>
      <c r="S156" s="1959"/>
      <c r="T156" s="1959"/>
      <c r="U156" s="1959"/>
      <c r="V156" s="1959"/>
      <c r="W156" s="432"/>
      <c r="Y156" s="1372"/>
      <c r="Z156" s="1372"/>
      <c r="AA156" s="1372"/>
      <c r="AB156" s="1372"/>
      <c r="AC156" s="1372"/>
      <c r="AD156" s="1372"/>
      <c r="AE156" s="1372"/>
      <c r="AF156" s="1372"/>
      <c r="AG156" s="1372"/>
      <c r="AH156" s="1372"/>
      <c r="AI156" s="1372"/>
      <c r="AJ156" s="1372"/>
      <c r="AK156" s="1372"/>
    </row>
    <row s="8491" customFormat="1" customHeight="1" ht="17.25">
      <c r="A157" s="1953"/>
      <c r="C157" s="1958"/>
      <c r="D157" s="2616"/>
      <c r="E157" s="2643"/>
      <c r="F157" s="2259"/>
      <c r="G157" s="2645"/>
      <c r="H157" s="2616"/>
      <c r="I157" s="2616"/>
      <c r="J157" s="2646"/>
      <c r="K157" s="2225"/>
      <c r="L157" s="430"/>
      <c r="M157" s="431"/>
      <c r="N157" s="431" t="s">
        <v>355</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8491" customFormat="1" customHeight="1" ht="17.25">
      <c r="A158" s="1953"/>
      <c r="C158" s="1958"/>
      <c r="D158" s="2616"/>
      <c r="E158" s="2643"/>
      <c r="F158" s="2260"/>
      <c r="G158" s="2645"/>
      <c r="H158" s="430"/>
      <c r="I158" s="431"/>
      <c r="J158" s="431" t="s">
        <v>356</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8491" customFormat="1" customHeight="1" ht="17.25">
      <c r="A160" s="1953"/>
      <c r="C160" s="1955"/>
      <c r="D160" s="1943"/>
      <c r="E160" s="1960"/>
      <c r="F160" s="1897"/>
      <c r="G160" s="1961"/>
      <c r="H160" s="2642"/>
      <c r="I160" s="2642">
        <v>1</v>
      </c>
      <c r="J160" s="2614"/>
      <c r="K160" s="2298" t="s">
        <v>66</v>
      </c>
      <c r="L160" s="2221"/>
      <c r="M160" s="2221" t="s">
        <v>187</v>
      </c>
      <c r="N160" s="2617" t="str">
        <f>IF(Z160="","",INDEX(TERRITORY_MR_LIST,MATCH(Z160,TERRITORY_LIST_ID,0)))</f>
        <v/>
      </c>
      <c r="O160" s="2298" t="s">
        <v>66</v>
      </c>
      <c r="P160" s="2221"/>
      <c r="Q160" s="2221" t="s">
        <v>187</v>
      </c>
      <c r="R160" s="2615" t="s">
        <v>28</v>
      </c>
      <c r="S160" s="2220" t="s">
        <v>66</v>
      </c>
      <c r="T160" s="1924"/>
      <c r="U160" s="1924" t="s">
        <v>187</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8491"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542</v>
      </c>
      <c r="W161" s="432"/>
      <c r="Y161" s="1372"/>
      <c r="Z161" s="1372"/>
      <c r="AA161" s="1372"/>
      <c r="AB161" s="1372"/>
      <c r="AC161" s="1372"/>
      <c r="AD161" s="1372"/>
      <c r="AE161" s="1372"/>
      <c r="AF161" s="1372"/>
      <c r="AG161" s="1372"/>
      <c r="AH161" s="1372"/>
      <c r="AI161" s="1372"/>
      <c r="AJ161" s="1372"/>
      <c r="AK161" s="1372"/>
    </row>
    <row s="8491" customFormat="1" customHeight="1" ht="17.25">
      <c r="A162" s="1953"/>
      <c r="C162" s="1958"/>
      <c r="D162" s="1943"/>
      <c r="E162" s="1960"/>
      <c r="F162" s="1897"/>
      <c r="G162" s="1961"/>
      <c r="H162" s="2616"/>
      <c r="I162" s="2616"/>
      <c r="J162" s="2646"/>
      <c r="K162" s="2299"/>
      <c r="L162" s="2616"/>
      <c r="M162" s="2616"/>
      <c r="N162" s="2618"/>
      <c r="O162" s="2225"/>
      <c r="P162" s="430"/>
      <c r="Q162" s="431"/>
      <c r="R162" s="431" t="s">
        <v>298</v>
      </c>
      <c r="S162" s="1959"/>
      <c r="T162" s="1959"/>
      <c r="U162" s="1959"/>
      <c r="V162" s="1959"/>
      <c r="W162" s="432"/>
      <c r="Y162" s="1372"/>
      <c r="Z162" s="1372"/>
      <c r="AA162" s="1372"/>
      <c r="AB162" s="1372"/>
      <c r="AC162" s="1372"/>
      <c r="AD162" s="1372"/>
      <c r="AE162" s="1372"/>
      <c r="AF162" s="1372"/>
      <c r="AG162" s="1372"/>
      <c r="AH162" s="1372"/>
      <c r="AI162" s="1372"/>
      <c r="AJ162" s="1372"/>
      <c r="AK162" s="1372"/>
    </row>
    <row s="8491" customFormat="1" customHeight="1" ht="17.25">
      <c r="A163" s="1953"/>
      <c r="C163" s="1958"/>
      <c r="D163" s="1943"/>
      <c r="E163" s="1960"/>
      <c r="F163" s="1897"/>
      <c r="G163" s="1961"/>
      <c r="H163" s="2616"/>
      <c r="I163" s="2616"/>
      <c r="J163" s="2646"/>
      <c r="K163" s="2225"/>
      <c r="L163" s="430"/>
      <c r="M163" s="431"/>
      <c r="N163" s="431" t="s">
        <v>355</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8491" customFormat="1" customHeight="1" ht="17.25">
      <c r="A165" s="1953"/>
      <c r="C165" s="1955"/>
      <c r="D165" s="1943"/>
      <c r="E165" s="1960"/>
      <c r="F165" s="1897"/>
      <c r="G165" s="1961"/>
      <c r="H165" s="1943"/>
      <c r="I165" s="1943"/>
      <c r="J165" s="1962"/>
      <c r="K165" s="1873"/>
      <c r="L165" s="2221"/>
      <c r="M165" s="2221" t="s">
        <v>187</v>
      </c>
      <c r="N165" s="2617" t="str">
        <f>IF(Z165="","",INDEX(TERRITORY_MR_LIST,MATCH(Z165,TERRITORY_LIST_ID,0)))</f>
        <v/>
      </c>
      <c r="O165" s="2298" t="s">
        <v>66</v>
      </c>
      <c r="P165" s="2221"/>
      <c r="Q165" s="2221" t="s">
        <v>187</v>
      </c>
      <c r="R165" s="2615" t="s">
        <v>28</v>
      </c>
      <c r="S165" s="2220" t="s">
        <v>66</v>
      </c>
      <c r="T165" s="1924"/>
      <c r="U165" s="1924" t="s">
        <v>187</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8491"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542</v>
      </c>
      <c r="W166" s="432"/>
      <c r="Y166" s="1372"/>
      <c r="Z166" s="1372"/>
      <c r="AA166" s="1372"/>
      <c r="AB166" s="1372"/>
      <c r="AC166" s="1372"/>
      <c r="AD166" s="1372"/>
      <c r="AE166" s="1372"/>
      <c r="AF166" s="1372"/>
      <c r="AG166" s="1372"/>
      <c r="AH166" s="1372"/>
      <c r="AI166" s="1372"/>
      <c r="AJ166" s="1372"/>
      <c r="AK166" s="1372"/>
    </row>
    <row s="8491" customFormat="1" customHeight="1" ht="17.25">
      <c r="A167" s="1953"/>
      <c r="C167" s="1958"/>
      <c r="D167" s="1943"/>
      <c r="E167" s="1960"/>
      <c r="F167" s="1897"/>
      <c r="G167" s="1961"/>
      <c r="H167" s="1943"/>
      <c r="I167" s="1943"/>
      <c r="J167" s="1962"/>
      <c r="K167" s="1873"/>
      <c r="L167" s="2616"/>
      <c r="M167" s="2616"/>
      <c r="N167" s="2618"/>
      <c r="O167" s="2225"/>
      <c r="P167" s="430"/>
      <c r="Q167" s="431"/>
      <c r="R167" s="431" t="s">
        <v>298</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8491" customFormat="1" customHeight="1" ht="17.25">
      <c r="A169" s="1953"/>
      <c r="C169" s="1955"/>
      <c r="D169" s="1943"/>
      <c r="E169" s="1960"/>
      <c r="F169" s="1897"/>
      <c r="G169" s="1961"/>
      <c r="H169" s="1943"/>
      <c r="I169" s="1943"/>
      <c r="J169" s="1962"/>
      <c r="K169" s="1873"/>
      <c r="L169" s="1869"/>
      <c r="M169" s="1869"/>
      <c r="N169" s="2161"/>
      <c r="O169" s="1900"/>
      <c r="P169" s="2221"/>
      <c r="Q169" s="2221" t="s">
        <v>187</v>
      </c>
      <c r="R169" s="2615" t="s">
        <v>28</v>
      </c>
      <c r="S169" s="2220" t="s">
        <v>66</v>
      </c>
      <c r="T169" s="1924"/>
      <c r="U169" s="1924" t="s">
        <v>187</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8491"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542</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8491"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187</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13280" customFormat="1" customHeight="1" ht="17.25">
      <c r="A174" s="1928" t="s">
        <v>2072</v>
      </c>
    </row>
    <row customHeight="1" ht="17.25">
      <c r="G175" s="1952"/>
      <c r="H175" s="1952"/>
      <c r="I175" s="1952"/>
      <c r="M175" s="1948"/>
    </row>
    <row s="8491" customFormat="1" customHeight="1" ht="17.25">
      <c r="A176" s="1953"/>
      <c r="C176" s="1955"/>
      <c r="D176" s="2642"/>
      <c r="E176" s="2256"/>
      <c r="F176" s="2258"/>
      <c r="G176" s="2644"/>
      <c r="H176" s="2642"/>
      <c r="I176" s="2642">
        <v>1</v>
      </c>
      <c r="J176" s="2614"/>
      <c r="K176" s="2298" t="s">
        <v>66</v>
      </c>
      <c r="L176" s="2221"/>
      <c r="M176" s="2221" t="s">
        <v>187</v>
      </c>
      <c r="N176" s="2617" t="str">
        <f>IF(Z176="","",INDEX(TERRITORY_MR_LIST,MATCH(Z176,TERRITORY_LIST_ID,0)))</f>
        <v/>
      </c>
      <c r="O176" s="2298" t="s">
        <v>66</v>
      </c>
      <c r="P176" s="2221"/>
      <c r="Q176" s="2221" t="s">
        <v>187</v>
      </c>
      <c r="R176" s="2615" t="s">
        <v>28</v>
      </c>
      <c r="S176" s="2519" t="s">
        <v>19</v>
      </c>
      <c r="T176" s="1915"/>
      <c r="U176" s="1915" t="s">
        <v>187</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8491"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8491" customFormat="1" customHeight="1" ht="17.25">
      <c r="A178" s="1953"/>
      <c r="C178" s="1958"/>
      <c r="D178" s="2616"/>
      <c r="E178" s="2643"/>
      <c r="F178" s="2259"/>
      <c r="G178" s="2645"/>
      <c r="H178" s="2616"/>
      <c r="I178" s="2616"/>
      <c r="J178" s="2646"/>
      <c r="K178" s="2299"/>
      <c r="L178" s="2616"/>
      <c r="M178" s="2616"/>
      <c r="N178" s="2618"/>
      <c r="O178" s="2225"/>
      <c r="P178" s="430"/>
      <c r="Q178" s="431"/>
      <c r="R178" s="431" t="s">
        <v>298</v>
      </c>
      <c r="S178" s="1959"/>
      <c r="T178" s="1959"/>
      <c r="U178" s="1959"/>
      <c r="V178" s="1959"/>
      <c r="W178" s="1546"/>
      <c r="Y178" s="1372"/>
      <c r="Z178" s="1372"/>
      <c r="AA178" s="1372"/>
      <c r="AB178" s="1372"/>
      <c r="AC178" s="1372"/>
      <c r="AD178" s="1372"/>
      <c r="AE178" s="1372"/>
      <c r="AF178" s="1372"/>
      <c r="AG178" s="1372"/>
      <c r="AH178" s="1372"/>
      <c r="AI178" s="1372"/>
      <c r="AJ178" s="1372"/>
      <c r="AK178" s="1372"/>
    </row>
    <row s="8491" customFormat="1" customHeight="1" ht="17.25">
      <c r="A179" s="1953"/>
      <c r="C179" s="1958"/>
      <c r="D179" s="2616"/>
      <c r="E179" s="2643"/>
      <c r="F179" s="2259"/>
      <c r="G179" s="2645"/>
      <c r="H179" s="2616"/>
      <c r="I179" s="2616"/>
      <c r="J179" s="2646"/>
      <c r="K179" s="2225"/>
      <c r="L179" s="430"/>
      <c r="M179" s="431"/>
      <c r="N179" s="431" t="s">
        <v>355</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8491" customFormat="1" customHeight="1" ht="17.25">
      <c r="A180" s="1953"/>
      <c r="C180" s="1958"/>
      <c r="D180" s="2616"/>
      <c r="E180" s="2643"/>
      <c r="F180" s="2260"/>
      <c r="G180" s="2645"/>
      <c r="H180" s="430"/>
      <c r="I180" s="431"/>
      <c r="J180" s="431" t="s">
        <v>356</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8491" customFormat="1" customHeight="1" ht="17.25">
      <c r="A182" s="1953"/>
      <c r="C182" s="1955"/>
      <c r="D182" s="1943"/>
      <c r="E182" s="1960"/>
      <c r="F182" s="1897"/>
      <c r="G182" s="1961"/>
      <c r="H182" s="2642"/>
      <c r="I182" s="2642">
        <v>1</v>
      </c>
      <c r="J182" s="2614"/>
      <c r="K182" s="2298" t="s">
        <v>66</v>
      </c>
      <c r="L182" s="2221"/>
      <c r="M182" s="2221" t="s">
        <v>187</v>
      </c>
      <c r="N182" s="2617" t="str">
        <f>IF(Z182="","",INDEX(TERRITORY_MR_LIST,MATCH(Z182,TERRITORY_LIST_ID,0)))</f>
        <v/>
      </c>
      <c r="O182" s="2298" t="s">
        <v>66</v>
      </c>
      <c r="P182" s="2221"/>
      <c r="Q182" s="2221" t="s">
        <v>187</v>
      </c>
      <c r="R182" s="2615" t="s">
        <v>28</v>
      </c>
      <c r="S182" s="2519" t="s">
        <v>19</v>
      </c>
      <c r="T182" s="1915"/>
      <c r="U182" s="1915" t="s">
        <v>187</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8491"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8491" customFormat="1" customHeight="1" ht="17.25">
      <c r="A184" s="1953"/>
      <c r="C184" s="1958"/>
      <c r="D184" s="1943"/>
      <c r="E184" s="1960"/>
      <c r="F184" s="1897"/>
      <c r="G184" s="1961"/>
      <c r="H184" s="2616"/>
      <c r="I184" s="2616"/>
      <c r="J184" s="2646"/>
      <c r="K184" s="2299"/>
      <c r="L184" s="2616"/>
      <c r="M184" s="2616"/>
      <c r="N184" s="2618"/>
      <c r="O184" s="2225"/>
      <c r="P184" s="430"/>
      <c r="Q184" s="431"/>
      <c r="R184" s="431" t="s">
        <v>298</v>
      </c>
      <c r="S184" s="1959"/>
      <c r="T184" s="1959"/>
      <c r="U184" s="1959"/>
      <c r="V184" s="1959"/>
      <c r="W184" s="1546"/>
      <c r="Y184" s="1372"/>
      <c r="Z184" s="1372"/>
      <c r="AA184" s="1372"/>
      <c r="AB184" s="1372"/>
      <c r="AC184" s="1372"/>
      <c r="AD184" s="1372"/>
      <c r="AE184" s="1372"/>
      <c r="AF184" s="1372"/>
      <c r="AG184" s="1372"/>
      <c r="AH184" s="1372"/>
      <c r="AI184" s="1372"/>
      <c r="AJ184" s="1372"/>
      <c r="AK184" s="1372"/>
    </row>
    <row s="8491" customFormat="1" customHeight="1" ht="17.25">
      <c r="A185" s="1953"/>
      <c r="C185" s="1958"/>
      <c r="D185" s="1943"/>
      <c r="E185" s="1960"/>
      <c r="F185" s="1897"/>
      <c r="G185" s="1961"/>
      <c r="H185" s="2616"/>
      <c r="I185" s="2616"/>
      <c r="J185" s="2646"/>
      <c r="K185" s="2225"/>
      <c r="L185" s="430"/>
      <c r="M185" s="431"/>
      <c r="N185" s="431" t="s">
        <v>355</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8491" customFormat="1" customHeight="1" ht="17.25">
      <c r="A187" s="1953"/>
      <c r="C187" s="1955"/>
      <c r="D187" s="1943"/>
      <c r="E187" s="1960"/>
      <c r="F187" s="1897"/>
      <c r="G187" s="1961"/>
      <c r="H187" s="1943"/>
      <c r="I187" s="1943"/>
      <c r="J187" s="1964"/>
      <c r="K187" s="1961"/>
      <c r="L187" s="2221"/>
      <c r="M187" s="2221" t="s">
        <v>187</v>
      </c>
      <c r="N187" s="2617" t="str">
        <f>IF(Z187="","",INDEX(TERRITORY_MR_LIST,MATCH(Z187,TERRITORY_LIST_ID,0)))</f>
        <v/>
      </c>
      <c r="O187" s="2298" t="s">
        <v>66</v>
      </c>
      <c r="P187" s="2221"/>
      <c r="Q187" s="2221" t="s">
        <v>187</v>
      </c>
      <c r="R187" s="2615" t="s">
        <v>28</v>
      </c>
      <c r="S187" s="2519" t="s">
        <v>19</v>
      </c>
      <c r="T187" s="1915"/>
      <c r="U187" s="1915" t="s">
        <v>187</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8491"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8491" customFormat="1" customHeight="1" ht="17.25">
      <c r="A189" s="1953"/>
      <c r="C189" s="1958"/>
      <c r="D189" s="1943"/>
      <c r="E189" s="1960"/>
      <c r="F189" s="1897"/>
      <c r="G189" s="1961"/>
      <c r="H189" s="1943"/>
      <c r="I189" s="1943"/>
      <c r="J189" s="1964"/>
      <c r="K189" s="1961"/>
      <c r="L189" s="2616"/>
      <c r="M189" s="2616"/>
      <c r="N189" s="2618"/>
      <c r="O189" s="2225"/>
      <c r="P189" s="430"/>
      <c r="Q189" s="431"/>
      <c r="R189" s="431" t="s">
        <v>298</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8491" customFormat="1" customHeight="1" ht="17.25">
      <c r="A191" s="1953"/>
      <c r="C191" s="1955"/>
      <c r="D191" s="1943"/>
      <c r="E191" s="1960"/>
      <c r="F191" s="1897"/>
      <c r="G191" s="1961"/>
      <c r="H191" s="1943"/>
      <c r="I191" s="1943"/>
      <c r="J191" s="1964"/>
      <c r="K191" s="1961"/>
      <c r="L191" s="1943"/>
      <c r="M191" s="1943"/>
      <c r="N191" s="2161"/>
      <c r="O191" s="1900"/>
      <c r="P191" s="2221"/>
      <c r="Q191" s="2221" t="s">
        <v>187</v>
      </c>
      <c r="R191" s="2615" t="s">
        <v>28</v>
      </c>
      <c r="S191" s="2519" t="s">
        <v>19</v>
      </c>
      <c r="T191" s="1915"/>
      <c r="U191" s="1915" t="s">
        <v>187</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8491"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13280" customFormat="1" customHeight="1" ht="17.25">
      <c r="A200" s="1928" t="s">
        <v>2073</v>
      </c>
    </row>
    <row customHeight="1" ht="17.25">
      <c r="G201" s="1952"/>
      <c r="H201" s="1952"/>
      <c r="I201" s="1952"/>
      <c r="M201" s="1948"/>
    </row>
    <row s="8415" customFormat="1" customHeight="1" ht="15">
      <c r="D202" s="2636"/>
      <c r="E202" s="2312"/>
      <c r="F202" s="2312"/>
      <c r="G202" s="2298"/>
      <c r="H202" s="1677"/>
      <c r="I202" s="2640">
        <v>1</v>
      </c>
      <c r="J202" s="2614"/>
      <c r="K202" s="1692"/>
      <c r="L202" s="2298" t="s">
        <v>66</v>
      </c>
      <c r="M202" s="2298" t="s">
        <v>66</v>
      </c>
      <c r="N202" s="1677"/>
      <c r="O202" s="2221" t="s">
        <v>187</v>
      </c>
      <c r="P202" s="2630"/>
      <c r="Q202" s="1693"/>
      <c r="R202" s="2298" t="s">
        <v>66</v>
      </c>
      <c r="S202" s="2298" t="s">
        <v>66</v>
      </c>
      <c r="T202" s="1968"/>
      <c r="U202" s="2221" t="s">
        <v>187</v>
      </c>
      <c r="V202" s="2637" t="str">
        <f>IF(AK202="","",INDEX(TERRITORY_MR_LIST,MATCH(AK202,TERRITORY_LIST_ID,0)))</f>
        <v/>
      </c>
      <c r="W202" s="1694"/>
      <c r="X202" s="2298" t="s">
        <v>66</v>
      </c>
      <c r="Y202" s="2298" t="s">
        <v>19</v>
      </c>
      <c r="Z202" s="1677"/>
      <c r="AA202" s="2221" t="s">
        <v>187</v>
      </c>
      <c r="AB202" s="2639"/>
      <c r="AC202" s="1695"/>
      <c r="AD202" s="2298" t="s">
        <v>66</v>
      </c>
      <c r="AE202" s="2298" t="s">
        <v>19</v>
      </c>
      <c r="AF202" s="1675"/>
      <c r="AG202" s="1924" t="s">
        <v>187</v>
      </c>
      <c r="AH202" s="1685"/>
      <c r="AI202" s="1914"/>
    </row>
    <row s="8415"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2074</v>
      </c>
      <c r="AI203" s="2632"/>
    </row>
    <row s="8415"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2075</v>
      </c>
      <c r="AC204" s="2633"/>
      <c r="AD204" s="2633"/>
      <c r="AE204" s="2633"/>
      <c r="AF204" s="2633"/>
      <c r="AG204" s="2633"/>
      <c r="AH204" s="2633"/>
      <c r="AI204" s="2634"/>
    </row>
    <row s="8415"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181</v>
      </c>
      <c r="W205" s="2631"/>
      <c r="X205" s="2631"/>
      <c r="Y205" s="2631"/>
      <c r="Z205" s="2631"/>
      <c r="AA205" s="2631"/>
      <c r="AB205" s="2631"/>
      <c r="AC205" s="2631"/>
      <c r="AD205" s="2631"/>
      <c r="AE205" s="2631"/>
      <c r="AF205" s="2631"/>
      <c r="AG205" s="2631"/>
      <c r="AH205" s="2631"/>
      <c r="AI205" s="2632"/>
    </row>
    <row s="8415" customFormat="1" customHeight="1" ht="11.25">
      <c r="D206" s="2636"/>
      <c r="E206" s="2312"/>
      <c r="F206" s="2312"/>
      <c r="G206" s="2299"/>
      <c r="H206" s="1681"/>
      <c r="I206" s="2640"/>
      <c r="J206" s="2641"/>
      <c r="K206" s="1676"/>
      <c r="L206" s="2299"/>
      <c r="M206" s="2299"/>
      <c r="N206" s="1681"/>
      <c r="O206" s="1682"/>
      <c r="P206" s="2631" t="s">
        <v>2076</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8759" customFormat="1" customHeight="1" ht="11.25">
      <c r="D207" s="2636"/>
      <c r="E207" s="2312"/>
      <c r="F207" s="2312"/>
      <c r="G207" s="2225"/>
      <c r="H207" s="1683"/>
      <c r="I207" s="1684"/>
      <c r="J207" s="2631" t="s">
        <v>356</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8415"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8415"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8415"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8415"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8415"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8759"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4324DD-3B81-48F3-2D2A-A3CB8869FA0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3572" width="43.140625"/>
    <col min="2" max="2" style="13572" width="43.140625" hidden="1"/>
    <col min="3" max="3" style="13572" width="43.140625"/>
    <col min="4" max="5" style="13572" width="36.421875" customWidth="1"/>
    <col min="6" max="8" style="13573" width="36.421875" customWidth="1"/>
  </cols>
  <sheetData>
    <row customHeight="1" ht="9">
      <c r="A1" s="959" t="s">
        <v>2077</v>
      </c>
      <c r="B1" s="959"/>
      <c r="C1" s="1095" t="s">
        <v>2078</v>
      </c>
      <c r="D1" s="1093" t="s">
        <v>936</v>
      </c>
      <c r="E1" s="1093" t="s">
        <v>982</v>
      </c>
      <c r="F1" s="1093" t="s">
        <v>1035</v>
      </c>
      <c r="G1" s="1093" t="s">
        <v>1022</v>
      </c>
      <c r="H1" s="1093" t="s">
        <v>1750</v>
      </c>
    </row>
    <row customHeight="1" ht="9">
      <c r="A2" s="1096" t="s">
        <v>2079</v>
      </c>
      <c r="B2" s="1096"/>
      <c r="C2" s="1097" t="str">
        <f>INDEX(TEMPLATE_NUMBER_FORM_LIST,MATCH(TEMPLATE_SPHERE,TEMPLATE_SPHERE_LIST,0))</f>
        <v>10</v>
      </c>
      <c r="D2" s="1096" t="s">
        <v>171</v>
      </c>
      <c r="E2" s="1096" t="s">
        <v>141</v>
      </c>
      <c r="F2" s="1098" t="s">
        <v>141</v>
      </c>
      <c r="G2" s="1096" t="s">
        <v>141</v>
      </c>
      <c r="H2" s="1099"/>
    </row>
    <row customHeight="1" ht="63">
      <c r="A3" s="959"/>
      <c r="B3" s="959" t="s">
        <v>187</v>
      </c>
      <c r="C3" s="109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97" t="s">
        <v>2080</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98"/>
      <c r="G3" s="1099"/>
      <c r="H3" s="959"/>
    </row>
    <row customHeight="1" ht="243">
      <c r="A4" s="959" t="s">
        <v>2081</v>
      </c>
      <c r="B4" s="959" t="s">
        <v>104</v>
      </c>
      <c r="C4" s="1097" t="str">
        <f>IF(TEMPLATE_SPHERE="HEAT",D4,IF(TEMPLATE_SPHERE="TKO",H4,E4))</f>
        <v>Форма 1. Информация об организации, осуществляющей холодное водоснабжение (общая информация)</v>
      </c>
      <c r="D4" s="1096" t="s">
        <v>2082</v>
      </c>
      <c r="E4" s="109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96"/>
      <c r="G4" s="1096"/>
      <c r="H4" s="959" t="s">
        <v>2083</v>
      </c>
    </row>
    <row customHeight="1" ht="117">
      <c r="A5" s="959" t="s">
        <v>2084</v>
      </c>
      <c r="B5" s="959" t="s">
        <v>90</v>
      </c>
      <c r="C5" s="109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59" t="s">
        <v>2085</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99"/>
      <c r="G5" s="1099"/>
      <c r="H5" s="959" t="s">
        <v>2086</v>
      </c>
    </row>
    <row customHeight="1" ht="90">
      <c r="A6" s="959" t="s">
        <v>2087</v>
      </c>
      <c r="B6" s="959" t="s">
        <v>91</v>
      </c>
      <c r="C6" s="109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59"/>
      <c r="G6" s="959"/>
      <c r="H6" s="1099"/>
    </row>
    <row customHeight="1" ht="45">
      <c r="A7" s="959" t="s">
        <v>2088</v>
      </c>
      <c r="B7" s="959" t="s">
        <v>118</v>
      </c>
      <c r="C7" s="109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59" t="s">
        <v>2089</v>
      </c>
      <c r="E7" s="959" t="s">
        <v>2090</v>
      </c>
      <c r="F7" s="1099"/>
      <c r="G7" s="1099"/>
      <c r="H7" s="1099"/>
    </row>
    <row customHeight="1" ht="108">
      <c r="A8" s="959" t="s">
        <v>2091</v>
      </c>
      <c r="B8" s="959" t="s">
        <v>92</v>
      </c>
      <c r="C8" s="109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59" t="s">
        <v>1293</v>
      </c>
      <c r="E8" s="959" t="s">
        <v>2092</v>
      </c>
      <c r="F8" s="1099"/>
      <c r="G8" s="1099"/>
      <c r="H8" s="1099"/>
    </row>
    <row customHeight="1" ht="99">
      <c r="A9" s="959" t="s">
        <v>2093</v>
      </c>
      <c r="B9" s="959"/>
      <c r="C9" s="959" t="s">
        <v>2094</v>
      </c>
      <c r="D9" s="959"/>
      <c r="E9" s="959"/>
      <c r="F9" s="1099"/>
      <c r="G9" s="1099"/>
      <c r="H9" s="1099"/>
    </row>
    <row customHeight="1" ht="126">
      <c r="A10" s="959" t="s">
        <v>2095</v>
      </c>
      <c r="B10" s="959"/>
      <c r="C10" s="959" t="s">
        <v>2096</v>
      </c>
      <c r="D10" s="959"/>
      <c r="E10" s="959"/>
      <c r="F10" s="1099"/>
      <c r="G10" s="1099"/>
      <c r="H10" s="1099"/>
    </row>
    <row customHeight="1" ht="108">
      <c r="A11" s="959" t="s">
        <v>2097</v>
      </c>
      <c r="B11" s="959"/>
      <c r="C11" s="959" t="s">
        <v>2098</v>
      </c>
      <c r="D11" s="959"/>
      <c r="E11" s="959"/>
      <c r="F11" s="1099"/>
      <c r="G11" s="1099"/>
      <c r="H11" s="1099"/>
    </row>
    <row customHeight="1" ht="54">
      <c r="A12" s="959" t="s">
        <v>2099</v>
      </c>
      <c r="B12" s="959"/>
      <c r="C12" s="959" t="s">
        <v>2100</v>
      </c>
      <c r="D12" s="959"/>
      <c r="E12" s="959"/>
      <c r="F12" s="1099"/>
      <c r="G12" s="1099"/>
      <c r="H12" s="1099"/>
    </row>
    <row customHeight="1" ht="45">
      <c r="A13" s="959" t="s">
        <v>2101</v>
      </c>
      <c r="B13" s="959"/>
      <c r="C13" s="959" t="s">
        <v>2102</v>
      </c>
      <c r="D13" s="959"/>
      <c r="E13" s="959"/>
      <c r="F13" s="1099"/>
      <c r="G13" s="1099"/>
      <c r="H13" s="1099"/>
    </row>
    <row customHeight="1" ht="117">
      <c r="A14" s="959" t="s">
        <v>2103</v>
      </c>
      <c r="B14" s="959"/>
      <c r="C14" s="959" t="s">
        <v>2104</v>
      </c>
      <c r="D14" s="959"/>
      <c r="E14" s="959"/>
      <c r="F14" s="1099"/>
      <c r="G14" s="1099"/>
      <c r="H14" s="1099"/>
    </row>
    <row customHeight="1" ht="117">
      <c r="A15" s="959" t="s">
        <v>2105</v>
      </c>
      <c r="B15" s="959"/>
      <c r="C15" s="959" t="s">
        <v>2106</v>
      </c>
      <c r="D15" s="959"/>
      <c r="E15" s="959"/>
      <c r="F15" s="1099"/>
      <c r="G15" s="1099"/>
      <c r="H15" s="1099"/>
    </row>
    <row customHeight="1" ht="63">
      <c r="A16" s="959" t="s">
        <v>2107</v>
      </c>
      <c r="B16" s="959"/>
      <c r="C16" s="959" t="s">
        <v>2108</v>
      </c>
      <c r="D16" s="959"/>
      <c r="E16" s="959"/>
      <c r="F16" s="1099"/>
      <c r="G16" s="1099"/>
      <c r="H16" s="1099"/>
    </row>
    <row customHeight="1" ht="54">
      <c r="A17" s="959" t="s">
        <v>2109</v>
      </c>
      <c r="B17" s="959"/>
      <c r="C17" s="1097" t="s">
        <v>2110</v>
      </c>
      <c r="D17" s="959"/>
      <c r="E17" s="959"/>
      <c r="F17" s="1099"/>
      <c r="G17" s="1099"/>
      <c r="H17" s="1099"/>
    </row>
    <row customHeight="1" ht="27">
      <c r="A18" s="959" t="s">
        <v>2111</v>
      </c>
      <c r="B18" s="959"/>
      <c r="C18" s="1097" t="s">
        <v>2112</v>
      </c>
      <c r="D18" s="959"/>
      <c r="E18" s="959"/>
      <c r="F18" s="1099"/>
      <c r="G18" s="1099"/>
      <c r="H18" s="1099"/>
    </row>
    <row customHeight="1" ht="54">
      <c r="A19" s="959" t="s">
        <v>2113</v>
      </c>
      <c r="B19" s="959"/>
      <c r="C19" s="1097" t="s">
        <v>2114</v>
      </c>
      <c r="D19" s="959"/>
      <c r="E19" s="959"/>
      <c r="F19" s="1099"/>
      <c r="G19" s="1099"/>
      <c r="H19" s="1099"/>
    </row>
    <row customHeight="1" ht="36">
      <c r="A20" s="959" t="s">
        <v>2115</v>
      </c>
      <c r="B20" s="959"/>
      <c r="C20" s="1097" t="s">
        <v>2116</v>
      </c>
      <c r="D20" s="959"/>
      <c r="E20" s="959"/>
      <c r="F20" s="1099"/>
      <c r="G20" s="1099"/>
      <c r="H20" s="1099"/>
    </row>
    <row customHeight="1" ht="36">
      <c r="A21" s="959" t="s">
        <v>2117</v>
      </c>
      <c r="B21" s="959"/>
      <c r="C21" s="1097" t="s">
        <v>2118</v>
      </c>
      <c r="D21" s="959"/>
      <c r="E21" s="959"/>
      <c r="F21" s="1099"/>
      <c r="G21" s="1099"/>
      <c r="H21" s="1099"/>
    </row>
    <row customHeight="1" ht="27">
      <c r="A22" s="959" t="s">
        <v>2119</v>
      </c>
      <c r="B22" s="959"/>
      <c r="C22" s="1097" t="s">
        <v>2120</v>
      </c>
      <c r="D22" s="959"/>
      <c r="E22" s="959"/>
      <c r="F22" s="1099"/>
      <c r="G22" s="1099"/>
      <c r="H22" s="1099"/>
    </row>
    <row customHeight="1" ht="36">
      <c r="A23" s="959" t="s">
        <v>2121</v>
      </c>
      <c r="B23" s="959"/>
      <c r="C23" s="1097" t="s">
        <v>2122</v>
      </c>
      <c r="D23" s="959"/>
      <c r="E23" s="959"/>
      <c r="F23" s="1099"/>
      <c r="G23" s="1099"/>
      <c r="H23" s="1099"/>
    </row>
    <row customHeight="1" ht="28.5">
      <c r="A24" s="959" t="s">
        <v>2123</v>
      </c>
      <c r="B24" s="959"/>
      <c r="C24" s="1097" t="s">
        <v>2124</v>
      </c>
      <c r="D24" s="959"/>
      <c r="E24" s="959"/>
      <c r="F24" s="1099"/>
      <c r="G24" s="1099"/>
      <c r="H24" s="1099"/>
    </row>
    <row customHeight="1" ht="36">
      <c r="A25" s="959" t="s">
        <v>2125</v>
      </c>
      <c r="B25" s="959"/>
      <c r="C25" s="1097" t="s">
        <v>2126</v>
      </c>
      <c r="D25" s="959"/>
      <c r="E25" s="959"/>
      <c r="F25" s="1099"/>
      <c r="G25" s="1099"/>
      <c r="H25" s="1099"/>
    </row>
    <row customHeight="1" ht="27">
      <c r="A26" s="959" t="s">
        <v>2127</v>
      </c>
      <c r="B26" s="959"/>
      <c r="C26" s="1097" t="s">
        <v>2128</v>
      </c>
      <c r="D26" s="959"/>
      <c r="E26" s="959"/>
      <c r="F26" s="1099"/>
      <c r="G26" s="1099"/>
      <c r="H26" s="1099"/>
    </row>
    <row customHeight="1" ht="36">
      <c r="A27" s="959" t="s">
        <v>2129</v>
      </c>
      <c r="B27" s="959"/>
      <c r="C27" s="1097" t="s">
        <v>2130</v>
      </c>
      <c r="D27" s="959"/>
      <c r="E27" s="959"/>
      <c r="F27" s="1099"/>
      <c r="G27" s="1099"/>
      <c r="H27" s="1099"/>
    </row>
    <row customHeight="1" ht="28.5">
      <c r="A28" s="959" t="s">
        <v>2131</v>
      </c>
      <c r="B28" s="959"/>
      <c r="C28" s="1097" t="s">
        <v>2132</v>
      </c>
      <c r="D28" s="959"/>
      <c r="E28" s="959"/>
      <c r="F28" s="1099"/>
      <c r="G28" s="1099"/>
      <c r="H28" s="1099"/>
    </row>
    <row customHeight="1" ht="126">
      <c r="A29" s="959" t="s">
        <v>2133</v>
      </c>
      <c r="B29" s="959" t="s">
        <v>1703</v>
      </c>
      <c r="C29" s="109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59" t="s">
        <v>2134</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99"/>
      <c r="G29" s="1099"/>
      <c r="H29" s="959" t="s">
        <v>2135</v>
      </c>
    </row>
    <row customHeight="1" ht="36">
      <c r="A30" s="959" t="s">
        <v>2136</v>
      </c>
      <c r="B30" s="959"/>
      <c r="C30" s="109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59" t="s">
        <v>2137</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99"/>
      <c r="G30" s="1099"/>
      <c r="H30" s="1099"/>
    </row>
    <row customHeight="1" ht="54">
      <c r="A31" s="959" t="s">
        <v>2138</v>
      </c>
      <c r="B31" s="959"/>
      <c r="C31" s="1097" t="str">
        <f>IF(TEMPLATE_SPHERE="HEAT",D31,IF(TEMPLATE_SPHERE="TKO",H31,E31))</f>
        <v>Форма 1. Информация об организации, осуществляющей холодное водоснабжение (общая информация)</v>
      </c>
      <c r="D31" s="959" t="s">
        <v>2139</v>
      </c>
      <c r="E31" s="96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99"/>
      <c r="G31" s="1099"/>
      <c r="H31" s="1099"/>
    </row>
    <row customHeight="1" ht="198">
      <c r="A32" s="959" t="s">
        <v>2140</v>
      </c>
      <c r="B32" s="959"/>
      <c r="C32" s="1097" t="str">
        <f>IF(TEMPLATE_SPHERE="HEAT",D32,IF(TEMPLATE_SPHERE="TKO",H32,E32))</f>
        <v>Форма 7. Информация об инвестиционных программах организации холодного водоснабжения и отчетах об их исполнении</v>
      </c>
      <c r="D32" s="959" t="s">
        <v>2141</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99"/>
      <c r="G32" s="1099"/>
      <c r="H32" s="959" t="s">
        <v>2142</v>
      </c>
    </row>
    <row customHeight="1" ht="9">
      <c r="A33" s="959"/>
      <c r="B33" s="959"/>
      <c r="C33" s="1097"/>
      <c r="D33" s="959"/>
      <c r="E33" s="959"/>
      <c r="F33" s="1099"/>
      <c r="G33" s="1099"/>
      <c r="H33" s="1099"/>
    </row>
    <row customHeight="1" ht="9">
      <c r="A34" s="959"/>
      <c r="B34" s="959" t="s">
        <v>1639</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046B407-EB59-2732-F41D-14BB2E67161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3572" width="9.140625"/>
    <col min="3" max="7" style="13616" width="8.00390625" customWidth="1"/>
    <col min="8" max="12" style="13616" width="8.57421875" customWidth="1"/>
    <col min="13" max="14" style="13616" width="27.7109375" customWidth="1"/>
    <col min="15" max="19" style="13616" width="5.140625" customWidth="1"/>
    <col min="20" max="24" style="13616" width="27.7109375" customWidth="1"/>
    <col min="25" max="25" style="13617" width="1.8515625" customWidth="1"/>
    <col min="26" max="26" style="13572" width="27.7109375" customWidth="1"/>
    <col min="27" max="27" style="13618" width="27.7109375" customWidth="1"/>
    <col min="28" max="29" style="13572" width="27.7109375" customWidth="1"/>
    <col min="30" max="30" style="13572" width="3.8515625" customWidth="1"/>
    <col min="31" max="34" style="13572" width="9.140625"/>
  </cols>
  <sheetData>
    <row s="13574" customFormat="1" customHeight="1" ht="18">
      <c r="A1" s="1011"/>
      <c r="B1" s="1011"/>
      <c r="C1" s="1011" t="s">
        <v>2143</v>
      </c>
      <c r="D1" s="1011"/>
      <c r="E1" s="1011"/>
      <c r="F1" s="1011"/>
      <c r="G1" s="1011"/>
      <c r="H1" s="1011" t="s">
        <v>2144</v>
      </c>
      <c r="I1" s="1011"/>
      <c r="J1" s="1011"/>
      <c r="K1" s="1011"/>
      <c r="L1" s="1011"/>
      <c r="M1" s="1011" t="s">
        <v>2145</v>
      </c>
      <c r="N1" s="1011" t="s">
        <v>2146</v>
      </c>
      <c r="O1" s="2705" t="s">
        <v>2147</v>
      </c>
      <c r="P1" s="2705"/>
      <c r="Q1" s="2705"/>
      <c r="R1" s="2705"/>
      <c r="S1" s="2705"/>
      <c r="T1" s="2705" t="s">
        <v>2145</v>
      </c>
      <c r="U1" s="2705"/>
      <c r="V1" s="2705"/>
      <c r="W1" s="2705"/>
      <c r="X1" s="2705"/>
      <c r="Y1" s="1112"/>
      <c r="Z1" s="2705" t="s">
        <v>2148</v>
      </c>
      <c r="AA1" s="2705"/>
      <c r="AB1" s="2705"/>
      <c r="AC1" s="2705"/>
      <c r="AD1" s="2705"/>
    </row>
    <row customHeight="1" ht="18">
      <c r="A2" s="959"/>
      <c r="B2" s="959"/>
      <c r="C2" s="954" t="s">
        <v>936</v>
      </c>
      <c r="D2" s="954" t="s">
        <v>982</v>
      </c>
      <c r="E2" s="954" t="s">
        <v>1035</v>
      </c>
      <c r="F2" s="954" t="s">
        <v>1022</v>
      </c>
      <c r="G2" s="954" t="s">
        <v>1750</v>
      </c>
      <c r="H2" s="956"/>
      <c r="I2" s="956"/>
      <c r="J2" s="956"/>
      <c r="K2" s="956"/>
      <c r="L2" s="956"/>
      <c r="M2" s="956"/>
      <c r="N2" s="956"/>
      <c r="O2" s="954" t="s">
        <v>936</v>
      </c>
      <c r="P2" s="954" t="s">
        <v>982</v>
      </c>
      <c r="Q2" s="954" t="s">
        <v>1022</v>
      </c>
      <c r="R2" s="954" t="s">
        <v>1035</v>
      </c>
      <c r="S2" s="954" t="s">
        <v>1750</v>
      </c>
      <c r="T2" s="954" t="s">
        <v>936</v>
      </c>
      <c r="U2" s="954" t="s">
        <v>982</v>
      </c>
      <c r="V2" s="954" t="s">
        <v>1022</v>
      </c>
      <c r="W2" s="954" t="s">
        <v>1035</v>
      </c>
      <c r="X2" s="954" t="s">
        <v>1750</v>
      </c>
      <c r="Y2" s="954"/>
      <c r="Z2" s="954" t="s">
        <v>936</v>
      </c>
      <c r="AA2" s="963" t="s">
        <v>982</v>
      </c>
      <c r="AB2" s="954" t="s">
        <v>1022</v>
      </c>
      <c r="AC2" s="954" t="s">
        <v>1035</v>
      </c>
      <c r="AD2" s="954" t="s">
        <v>1750</v>
      </c>
    </row>
    <row customHeight="1" ht="162">
      <c r="A3" s="958" t="s">
        <v>26</v>
      </c>
      <c r="B3" s="958"/>
      <c r="C3" s="2709" t="s">
        <v>2149</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56"/>
      <c r="P3" s="956"/>
      <c r="Q3" s="956"/>
      <c r="R3" s="956"/>
      <c r="S3" s="956"/>
      <c r="T3" s="956"/>
      <c r="U3" s="956"/>
      <c r="V3" s="956"/>
      <c r="W3" s="956"/>
      <c r="X3" s="956"/>
      <c r="Y3" s="1113"/>
      <c r="Z3" s="959" t="s">
        <v>2150</v>
      </c>
      <c r="AA3" s="956" t="s">
        <v>2151</v>
      </c>
      <c r="AB3" s="959" t="s">
        <v>2152</v>
      </c>
      <c r="AC3" s="959" t="s">
        <v>2153</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1690</v>
      </c>
      <c r="D11" s="2712" t="s">
        <v>1686</v>
      </c>
      <c r="E11" s="2712" t="s">
        <v>1783</v>
      </c>
      <c r="F11" s="2712" t="s">
        <v>2154</v>
      </c>
      <c r="G11" s="2712"/>
      <c r="H11" s="1011" t="s">
        <v>2155</v>
      </c>
      <c r="I11" s="1011"/>
      <c r="J11" s="1011"/>
      <c r="K11" s="1011"/>
      <c r="L11" s="1011"/>
      <c r="M11" s="957" t="str">
        <f>IF(TEMPLATE_SPHERE="HEAT",T11,U11)</f>
        <v>Количество поданных заявлений </v>
      </c>
      <c r="N11" s="95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56"/>
      <c r="P11" s="956"/>
      <c r="Q11" s="956"/>
      <c r="R11" s="956"/>
      <c r="S11" s="956"/>
      <c r="T11" s="956" t="s">
        <v>2156</v>
      </c>
      <c r="U11" s="956" t="s">
        <v>2157</v>
      </c>
      <c r="V11" s="956"/>
      <c r="W11" s="956"/>
      <c r="X11" s="956"/>
      <c r="Y11" s="1113"/>
      <c r="Z11" s="959" t="s">
        <v>2158</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59"/>
      <c r="AC11" s="959"/>
      <c r="AD11" s="959"/>
    </row>
    <row customHeight="1" ht="45">
      <c r="A12" s="2706"/>
      <c r="B12" s="1012">
        <v>2</v>
      </c>
      <c r="C12" s="2713"/>
      <c r="D12" s="2713"/>
      <c r="E12" s="2713"/>
      <c r="F12" s="2713"/>
      <c r="G12" s="2713"/>
      <c r="H12" s="1011" t="s">
        <v>2159</v>
      </c>
      <c r="I12" s="1011"/>
      <c r="J12" s="1011"/>
      <c r="K12" s="1011"/>
      <c r="L12" s="1011"/>
      <c r="M12" s="957" t="str">
        <f>IF(TEMPLATE_SPHERE="HEAT",T12,U12)</f>
        <v>Количество исполненных заявлений </v>
      </c>
      <c r="N12" s="95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56"/>
      <c r="P12" s="956"/>
      <c r="Q12" s="956"/>
      <c r="R12" s="956"/>
      <c r="S12" s="956"/>
      <c r="T12" s="956" t="s">
        <v>2160</v>
      </c>
      <c r="U12" s="956" t="s">
        <v>2161</v>
      </c>
      <c r="V12" s="956"/>
      <c r="W12" s="956"/>
      <c r="X12" s="956"/>
      <c r="Y12" s="1113"/>
      <c r="Z12" s="959" t="s">
        <v>2162</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59"/>
      <c r="AC12" s="959"/>
      <c r="AD12" s="959"/>
    </row>
    <row customHeight="1" ht="72">
      <c r="A13" s="2706"/>
      <c r="B13" s="1012">
        <v>3</v>
      </c>
      <c r="C13" s="2713"/>
      <c r="D13" s="2713"/>
      <c r="E13" s="2713"/>
      <c r="F13" s="2713"/>
      <c r="G13" s="2713"/>
      <c r="H13" s="2705" t="s">
        <v>2163</v>
      </c>
      <c r="I13" s="1011"/>
      <c r="J13" s="1011"/>
      <c r="K13" s="1011"/>
      <c r="L13" s="1011"/>
      <c r="M13" s="95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5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56"/>
      <c r="P13" s="957"/>
      <c r="Q13" s="957"/>
      <c r="R13" s="957"/>
      <c r="S13" s="956"/>
      <c r="T13" s="956" t="s">
        <v>2164</v>
      </c>
      <c r="U13" s="957" t="s">
        <v>2165</v>
      </c>
      <c r="V13" s="957"/>
      <c r="W13" s="957"/>
      <c r="X13" s="956"/>
      <c r="Y13" s="1113"/>
      <c r="Z13" s="959" t="s">
        <v>2166</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2167</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57"/>
      <c r="W14" s="957"/>
      <c r="X14" s="956"/>
      <c r="Y14" s="1113"/>
      <c r="Z14" s="959" t="s">
        <v>2168</v>
      </c>
      <c r="AA14" s="962" t="s">
        <v>2168</v>
      </c>
      <c r="AB14" s="959"/>
      <c r="AC14" s="959"/>
      <c r="AD14" s="959"/>
    </row>
    <row customHeight="1" ht="108">
      <c r="A15" s="2706"/>
      <c r="B15" s="1012">
        <v>5</v>
      </c>
      <c r="C15" s="2713"/>
      <c r="D15" s="2713"/>
      <c r="E15" s="2713"/>
      <c r="F15" s="2713"/>
      <c r="G15" s="2713"/>
      <c r="H15" s="2707" t="s">
        <v>2169</v>
      </c>
      <c r="I15" s="1013"/>
      <c r="J15" s="1013"/>
      <c r="K15" s="1013"/>
      <c r="L15" s="1013"/>
      <c r="M15" s="96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61"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56"/>
      <c r="P15" s="957"/>
      <c r="Q15" s="957"/>
      <c r="R15" s="957"/>
      <c r="S15" s="956"/>
      <c r="T15" s="956" t="s">
        <v>2170</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57"/>
      <c r="W15" s="957"/>
      <c r="X15" s="956"/>
      <c r="Y15" s="1113"/>
      <c r="Z15" s="959" t="s">
        <v>2171</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56"/>
      <c r="P16" s="957"/>
      <c r="Q16" s="957"/>
      <c r="R16" s="957"/>
      <c r="S16" s="956"/>
      <c r="T16" s="956"/>
      <c r="U16" s="957"/>
      <c r="V16" s="957"/>
      <c r="W16" s="957"/>
      <c r="X16" s="956"/>
      <c r="Y16" s="1113"/>
      <c r="Z16" s="959" t="s">
        <v>2171</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1786</v>
      </c>
      <c r="B18" s="1012">
        <v>1</v>
      </c>
      <c r="C18" s="956" t="s">
        <v>2155</v>
      </c>
      <c r="D18" s="1080" t="s">
        <v>2155</v>
      </c>
      <c r="E18" s="956" t="s">
        <v>2155</v>
      </c>
      <c r="F18" s="956" t="s">
        <v>2155</v>
      </c>
      <c r="G18" s="956"/>
      <c r="H18" s="1115"/>
      <c r="I18" s="1118">
        <f>INDEX(TEMPLATE_NUMBER_POINT_FHD,B18,MATCH(TEMPLATE_SPHERE,TEMPLATE_SPHERE_LIST_FOR_NOTE,0))</f>
        <v>1</v>
      </c>
      <c r="J18" s="1118" t="str">
        <f>INDEX(TEMPLATE_DATA_POINT_FHD,B18,MATCH(TEMPLATE_SPHERE,TEMPLATE_SPHERE_LIST_FOR_NOTE,0))</f>
        <v>Выручка от регулируемых видов деятельности в сфере холодного водоснабжения</v>
      </c>
      <c r="K18" s="1118" t="str">
        <f>INDEX(TEMPLATE_NOTE_POINT_FHD,B18,MATCH(TEMPLATE_SPHERE,TEMPLATE_SPHERE_LIST_FOR_NOTE,0))</f>
        <v>Указывается выручка с распределением по видам деятельности.</v>
      </c>
      <c r="L18" s="957">
        <f>IF(I18=0,"",I18)</f>
        <v>1</v>
      </c>
      <c r="M18" s="957" t="str">
        <f>IF(J18=0,"",J18)</f>
        <v>Выручка от регулируемых видов деятельности в сфере холодного водоснабжения</v>
      </c>
      <c r="N18" s="957" t="str">
        <f>IF(K18=0,"",K18)</f>
        <v>Указывается выручка с распределением по видам деятельности.</v>
      </c>
      <c r="O18" s="1070">
        <v>1</v>
      </c>
      <c r="P18" s="1070">
        <v>1</v>
      </c>
      <c r="Q18" s="1070">
        <v>1</v>
      </c>
      <c r="R18" s="1070">
        <v>1</v>
      </c>
      <c r="S18" s="1070"/>
      <c r="T18" s="1077" t="s">
        <v>2172</v>
      </c>
      <c r="U18" s="959" t="s">
        <v>2173</v>
      </c>
      <c r="V18" s="959" t="s">
        <v>2174</v>
      </c>
      <c r="W18" s="959" t="s">
        <v>2175</v>
      </c>
      <c r="X18" s="956"/>
      <c r="Y18" s="1113"/>
      <c r="Z18" s="959" t="s">
        <v>2176</v>
      </c>
      <c r="AA18" s="962" t="s">
        <v>2177</v>
      </c>
      <c r="AB18" s="962" t="s">
        <v>2177</v>
      </c>
      <c r="AC18" s="962" t="s">
        <v>2177</v>
      </c>
      <c r="AD18" s="959"/>
    </row>
    <row customHeight="1" ht="36">
      <c r="A19" s="958"/>
      <c r="B19" s="1012">
        <v>2</v>
      </c>
      <c r="C19" s="956" t="s">
        <v>2159</v>
      </c>
      <c r="D19" s="1080" t="s">
        <v>2159</v>
      </c>
      <c r="E19" s="956" t="s">
        <v>2159</v>
      </c>
      <c r="F19" s="956" t="s">
        <v>2159</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регулируемым видам деятельности в сфере холодного водоснабжения, включая:</v>
      </c>
      <c r="N19" s="957" t="str">
        <f>IF(K19=0,"",K19)</f>
        <v>Указывается суммарная себестоимость производимых товаров.</v>
      </c>
      <c r="O19" s="1070">
        <v>2</v>
      </c>
      <c r="P19" s="1070">
        <v>2</v>
      </c>
      <c r="Q19" s="1070">
        <v>2</v>
      </c>
      <c r="R19" s="1070">
        <v>2</v>
      </c>
      <c r="S19" s="1070"/>
      <c r="T19" s="1077" t="s">
        <v>2178</v>
      </c>
      <c r="U19" s="959" t="s">
        <v>2179</v>
      </c>
      <c r="V19" s="959" t="s">
        <v>2180</v>
      </c>
      <c r="W19" s="959" t="s">
        <v>2181</v>
      </c>
      <c r="X19" s="956"/>
      <c r="Y19" s="1113"/>
      <c r="Z19" s="959" t="s">
        <v>2182</v>
      </c>
      <c r="AA19" s="962" t="s">
        <v>2182</v>
      </c>
      <c r="AB19" s="962" t="s">
        <v>2182</v>
      </c>
      <c r="AC19" s="962" t="s">
        <v>2182</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18">
        <f>INDEX(TEMPLATE_NOTE_POINT_FHD,B20,MATCH(TEMPLATE_SPHERE,TEMPLATE_SPHERE_LIST_FOR_NOTE,0))</f>
        <v>0</v>
      </c>
      <c r="L20" s="957" t="str">
        <f>IF(I20=0,"",I20)</f>
        <v>2.1</v>
      </c>
      <c r="M20" s="957" t="str">
        <f>IF(J20=0,"",J20)</f>
        <v>Расходы на оплату холодной воды, приобретаемой у других организаций для последующей подачи потребителям</v>
      </c>
      <c r="N20" s="957" t="str">
        <f>IF(K20=0,"",K20)</f>
        <v/>
      </c>
      <c r="O20" s="1070" t="s">
        <v>837</v>
      </c>
      <c r="P20" s="1070" t="s">
        <v>837</v>
      </c>
      <c r="Q20" s="1070" t="s">
        <v>837</v>
      </c>
      <c r="R20" s="1070" t="s">
        <v>837</v>
      </c>
      <c r="S20" s="1070"/>
      <c r="T20" s="1077" t="s">
        <v>2183</v>
      </c>
      <c r="U20" s="959" t="s">
        <v>2184</v>
      </c>
      <c r="V20" s="959" t="s">
        <v>2185</v>
      </c>
      <c r="W20" s="959" t="s">
        <v>2186</v>
      </c>
      <c r="X20" s="956"/>
      <c r="Y20" s="1113"/>
      <c r="Z20" s="959"/>
      <c r="AA20" s="962"/>
      <c r="AB20" s="959"/>
      <c r="AC20" s="959"/>
      <c r="AD20" s="959"/>
    </row>
    <row customHeight="1" ht="36">
      <c r="A21" s="958"/>
      <c r="B21" s="1012">
        <v>4</v>
      </c>
      <c r="C21" s="956">
        <v>2</v>
      </c>
      <c r="D21" s="1080"/>
      <c r="E21" s="956"/>
      <c r="F21" s="956"/>
      <c r="G21" s="956"/>
      <c r="H21" s="1115"/>
      <c r="I21" s="1118">
        <f>INDEX(TEMPLATE_NUMBER_POINT_FHD,B21,MATCH(TEMPLATE_SPHERE,TEMPLATE_SPHERE_LIST_FOR_NOTE,0))</f>
        <v>0</v>
      </c>
      <c r="J21" s="1118">
        <f>INDEX(TEMPLATE_DATA_POINT_FHD,B21,MATCH(TEMPLATE_SPHERE,TEMPLATE_SPHERE_LIST_FOR_NOTE,0))</f>
        <v>0</v>
      </c>
      <c r="K21" s="1118">
        <f>INDEX(TEMPLATE_NOTE_POINT_FHD,B21,MATCH(TEMPLATE_SPHERE,TEMPLATE_SPHERE_LIST_FOR_NOTE,0))</f>
        <v>0</v>
      </c>
      <c r="L21" s="957" t="str">
        <f>IF(I21=0,"",I21)</f>
        <v/>
      </c>
      <c r="M21" s="957" t="str">
        <f>IF(J21=0,"",J21)</f>
        <v/>
      </c>
      <c r="N21" s="957" t="str">
        <f>IF(K21=0,"",K21)</f>
        <v/>
      </c>
      <c r="O21" s="1070" t="s">
        <v>435</v>
      </c>
      <c r="P21" s="1070"/>
      <c r="Q21" s="1070"/>
      <c r="R21" s="1070"/>
      <c r="S21" s="1070"/>
      <c r="T21" s="1077" t="s">
        <v>2187</v>
      </c>
      <c r="U21" s="959"/>
      <c r="V21" s="959"/>
      <c r="W21" s="959"/>
      <c r="X21" s="956"/>
      <c r="Y21" s="1113"/>
      <c r="Z21" s="959" t="s">
        <v>2188</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435</v>
      </c>
      <c r="R22" s="1070"/>
      <c r="S22" s="1070"/>
      <c r="T22" s="1077"/>
      <c r="U22" s="959"/>
      <c r="V22" s="959" t="s">
        <v>2189</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438</v>
      </c>
      <c r="R23" s="1070"/>
      <c r="S23" s="1070"/>
      <c r="T23" s="1077"/>
      <c r="U23" s="959"/>
      <c r="V23" s="959" t="s">
        <v>2190</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857</v>
      </c>
      <c r="R24" s="1070"/>
      <c r="S24" s="1070"/>
      <c r="T24" s="1077"/>
      <c r="U24" s="959"/>
      <c r="V24" s="959" t="s">
        <v>2191</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2.2</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2.2</v>
      </c>
      <c r="M25" s="957" t="str">
        <f>IF(J25=0,"",J25)</f>
        <v>Расходы на приобретаемую электрическую энергию (мощность), используемую в технологическом процессе</v>
      </c>
      <c r="N25" s="957" t="str">
        <f>IF(K25=0,"",K25)</f>
        <v/>
      </c>
      <c r="O25" s="1070" t="s">
        <v>438</v>
      </c>
      <c r="P25" s="1070" t="s">
        <v>435</v>
      </c>
      <c r="Q25" s="1070" t="s">
        <v>864</v>
      </c>
      <c r="R25" s="1070" t="s">
        <v>435</v>
      </c>
      <c r="S25" s="1070"/>
      <c r="T25" s="1077" t="s">
        <v>2192</v>
      </c>
      <c r="U25" s="959" t="s">
        <v>2192</v>
      </c>
      <c r="V25" s="959" t="s">
        <v>2192</v>
      </c>
      <c r="W25" s="959" t="s">
        <v>2192</v>
      </c>
      <c r="X25" s="956"/>
      <c r="Y25" s="1113"/>
      <c r="Z25" s="959"/>
      <c r="AA25" s="962"/>
      <c r="AB25" s="959"/>
      <c r="AC25" s="959"/>
      <c r="AD25" s="959"/>
    </row>
    <row customHeight="1" ht="18">
      <c r="A26" s="958"/>
      <c r="B26" s="1012">
        <v>9</v>
      </c>
      <c r="C26" s="956" t="s">
        <v>781</v>
      </c>
      <c r="D26" s="1080"/>
      <c r="E26" s="956"/>
      <c r="F26" s="956"/>
      <c r="G26" s="1004"/>
      <c r="H26" s="1071"/>
      <c r="I26" s="1118" t="str">
        <f>INDEX(TEMPLATE_NUMBER_POINT_FHD,B26,MATCH(TEMPLATE_SPHERE,TEMPLATE_SPHERE_LIST_FOR_NOTE,0))</f>
        <v>2.2.1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2.2.1</v>
      </c>
      <c r="M26" s="957" t="str">
        <f>IF(J26=0,"",J26)</f>
        <v>Средневзвешенная стоимость 1 кВт.ч (с учетом мощности)</v>
      </c>
      <c r="N26" s="957" t="str">
        <f>IF(K26=0,"",K26)</f>
        <v/>
      </c>
      <c r="O26" s="1070" t="s">
        <v>853</v>
      </c>
      <c r="P26" s="1070" t="s">
        <v>847</v>
      </c>
      <c r="Q26" s="1070" t="s">
        <v>2193</v>
      </c>
      <c r="R26" s="1070" t="s">
        <v>847</v>
      </c>
      <c r="S26" s="1070"/>
      <c r="T26" s="1077" t="str">
        <f>"Средневзвешенная стоимость 1 кВт.ч"&amp;IF(TITLE_TYPE_ORG="Регулируемая организация"," (с учетом мощности)","")</f>
        <v>Средневзвешенная стоимость 1 кВт.ч</v>
      </c>
      <c r="U26" s="1077" t="s">
        <v>2194</v>
      </c>
      <c r="V26" s="1077" t="s">
        <v>2194</v>
      </c>
      <c r="W26" s="1077" t="s">
        <v>2194</v>
      </c>
      <c r="X26" s="956"/>
      <c r="Y26" s="1113"/>
      <c r="Z26" s="959"/>
      <c r="AA26" s="962"/>
      <c r="AB26" s="959"/>
      <c r="AC26" s="959"/>
      <c r="AD26" s="959"/>
    </row>
    <row customHeight="1" ht="18">
      <c r="A27" s="958"/>
      <c r="B27" s="1012">
        <v>10</v>
      </c>
      <c r="C27" s="956" t="s">
        <v>785</v>
      </c>
      <c r="D27" s="1080"/>
      <c r="E27" s="956"/>
      <c r="F27" s="956"/>
      <c r="G27" s="1004"/>
      <c r="H27" s="1071"/>
      <c r="I27" s="1118" t="str">
        <f>INDEX(TEMPLATE_NUMBER_POINT_FHD,B27,MATCH(TEMPLATE_SPHERE,TEMPLATE_SPHERE_LIST_FOR_NOTE,0))</f>
        <v>2.2.2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2.2.2</v>
      </c>
      <c r="M27" s="957" t="str">
        <f>IF(J27=0,"",J27)</f>
        <v>Объём приобретения электрической энергии</v>
      </c>
      <c r="N27" s="957" t="str">
        <f>IF(K27=0,"",K27)</f>
        <v/>
      </c>
      <c r="O27" s="1070" t="s">
        <v>855</v>
      </c>
      <c r="P27" s="1070" t="s">
        <v>849</v>
      </c>
      <c r="Q27" s="1070" t="s">
        <v>2195</v>
      </c>
      <c r="R27" s="1070" t="s">
        <v>849</v>
      </c>
      <c r="S27" s="1070"/>
      <c r="T27" s="1077" t="s">
        <v>2196</v>
      </c>
      <c r="U27" s="1077" t="s">
        <v>2196</v>
      </c>
      <c r="V27" s="1077" t="s">
        <v>2196</v>
      </c>
      <c r="W27" s="1077" t="s">
        <v>2196</v>
      </c>
      <c r="X27" s="956"/>
      <c r="Y27" s="1113"/>
      <c r="Z27" s="959"/>
      <c r="AA27" s="962"/>
      <c r="AB27" s="959"/>
      <c r="AC27" s="959"/>
      <c r="AD27" s="959"/>
    </row>
    <row customHeight="1" ht="27">
      <c r="A28" s="958"/>
      <c r="B28" s="1012">
        <v>11</v>
      </c>
      <c r="C28" s="956">
        <v>7</v>
      </c>
      <c r="D28" s="1080"/>
      <c r="E28" s="956"/>
      <c r="F28" s="956"/>
      <c r="G28" s="1004"/>
      <c r="H28" s="1071"/>
      <c r="I28" s="1118">
        <f>INDEX(TEMPLATE_NUMBER_POINT_FHD,B28,MATCH(TEMPLATE_SPHERE,TEMPLATE_SPHERE_LIST_FOR_NOTE,0))</f>
        <v>0</v>
      </c>
      <c r="J28" s="1118">
        <f>INDEX(TEMPLATE_DATA_POINT_FHD,B28,MATCH(TEMPLATE_SPHERE,TEMPLATE_SPHERE_LIST_FOR_NOTE,0))</f>
        <v>0</v>
      </c>
      <c r="K28" s="1118">
        <f>INDEX(TEMPLATE_NOTE_POINT_FHD,B28,MATCH(TEMPLATE_SPHERE,TEMPLATE_SPHERE_LIST_FOR_NOTE,0))</f>
        <v>0</v>
      </c>
      <c r="L28" s="957" t="str">
        <f>IF(I28=0,"",I28)</f>
        <v/>
      </c>
      <c r="M28" s="957" t="str">
        <f>IF(J28=0,"",J28)</f>
        <v/>
      </c>
      <c r="N28" s="957" t="str">
        <f>IF(K28=0,"",K28)</f>
        <v/>
      </c>
      <c r="O28" s="1070" t="s">
        <v>857</v>
      </c>
      <c r="P28" s="1070"/>
      <c r="Q28" s="1070"/>
      <c r="R28" s="1070"/>
      <c r="S28" s="1070"/>
      <c r="T28" s="1077" t="s">
        <v>2197</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2.3</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2.3</v>
      </c>
      <c r="M29" s="957" t="str">
        <f>IF(J29=0,"",J29)</f>
        <v>Расходы на химические реагенты, используемые в технологическом процессе</v>
      </c>
      <c r="N29" s="957" t="str">
        <f>IF(K29=0,"",K29)</f>
        <v/>
      </c>
      <c r="O29" s="1070" t="s">
        <v>864</v>
      </c>
      <c r="P29" s="1070" t="s">
        <v>438</v>
      </c>
      <c r="Q29" s="1070"/>
      <c r="R29" s="1070" t="s">
        <v>438</v>
      </c>
      <c r="S29" s="1070"/>
      <c r="T29" s="107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59" t="s">
        <v>2198</v>
      </c>
      <c r="V29" s="959"/>
      <c r="W29" s="959" t="s">
        <v>2198</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2.4</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57" t="str">
        <f>IF(I30=0,"",I30)</f>
        <v>2.4</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Указывается общая сумма расходов на оплату труда и отчислений на социальные нужды основного производственного персонала.</v>
      </c>
      <c r="O30" s="1070" t="s">
        <v>866</v>
      </c>
      <c r="P30" s="1070" t="s">
        <v>857</v>
      </c>
      <c r="Q30" s="1070" t="s">
        <v>866</v>
      </c>
      <c r="R30" s="1070" t="s">
        <v>857</v>
      </c>
      <c r="S30" s="1070"/>
      <c r="T30" s="1077" t="s">
        <v>2199</v>
      </c>
      <c r="U30" s="959" t="s">
        <v>2199</v>
      </c>
      <c r="V30" s="959" t="s">
        <v>2199</v>
      </c>
      <c r="W30" s="959" t="s">
        <v>2199</v>
      </c>
      <c r="X30" s="956"/>
      <c r="Y30" s="1113"/>
      <c r="Z30" s="959"/>
      <c r="AA30" s="962" t="s">
        <v>2200</v>
      </c>
      <c r="AB30" s="962" t="s">
        <v>2200</v>
      </c>
      <c r="AC30" s="962" t="s">
        <v>2200</v>
      </c>
      <c r="AD30" s="959"/>
    </row>
    <row customHeight="1" ht="18">
      <c r="A31" s="958"/>
      <c r="B31" s="1012">
        <v>14</v>
      </c>
      <c r="C31" s="956" t="s">
        <v>2201</v>
      </c>
      <c r="D31" s="1080"/>
      <c r="E31" s="956"/>
      <c r="F31" s="956"/>
      <c r="G31" s="1004"/>
      <c r="H31" s="1071"/>
      <c r="I31" s="1118" t="str">
        <f>INDEX(TEMPLATE_NUMBER_POINT_FHD,B31,MATCH(TEMPLATE_SPHERE,TEMPLATE_SPHERE_LIST_FOR_NOTE,0))</f>
        <v>2.4.1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2.4.1</v>
      </c>
      <c r="M31" s="957" t="str">
        <f>IF(J31=0,"",J31)</f>
        <v>Расходы на оплату труда основного производственного персонала</v>
      </c>
      <c r="N31" s="957" t="str">
        <f>IF(K31=0,"",K31)</f>
        <v/>
      </c>
      <c r="O31" s="1070" t="s">
        <v>2202</v>
      </c>
      <c r="P31" s="1070" t="s">
        <v>860</v>
      </c>
      <c r="Q31" s="1070" t="s">
        <v>2202</v>
      </c>
      <c r="R31" s="1070" t="s">
        <v>860</v>
      </c>
      <c r="S31" s="1070"/>
      <c r="T31" s="1078" t="s">
        <v>2203</v>
      </c>
      <c r="U31" s="959" t="s">
        <v>2203</v>
      </c>
      <c r="V31" s="959" t="s">
        <v>2203</v>
      </c>
      <c r="W31" s="959" t="s">
        <v>2203</v>
      </c>
      <c r="X31" s="956"/>
      <c r="Y31" s="1113"/>
      <c r="Z31" s="959"/>
      <c r="AA31" s="962"/>
      <c r="AB31" s="962"/>
      <c r="AC31" s="962"/>
      <c r="AD31" s="959"/>
    </row>
    <row customHeight="1" ht="36">
      <c r="A32" s="958"/>
      <c r="B32" s="1012">
        <v>15</v>
      </c>
      <c r="C32" s="956" t="s">
        <v>2204</v>
      </c>
      <c r="D32" s="1080"/>
      <c r="E32" s="956"/>
      <c r="F32" s="956"/>
      <c r="G32" s="1004"/>
      <c r="H32" s="1071"/>
      <c r="I32" s="1118" t="str">
        <f>INDEX(TEMPLATE_NUMBER_POINT_FHD,B32,MATCH(TEMPLATE_SPHERE,TEMPLATE_SPHERE_LIST_FOR_NOTE,0))</f>
        <v>2.4.2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2.4.2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2205</v>
      </c>
      <c r="P32" s="1070" t="s">
        <v>862</v>
      </c>
      <c r="Q32" s="1070" t="s">
        <v>2205</v>
      </c>
      <c r="R32" s="1070" t="s">
        <v>862</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59" t="s">
        <v>2206</v>
      </c>
      <c r="V32" s="959" t="s">
        <v>2206</v>
      </c>
      <c r="W32" s="959" t="s">
        <v>2206</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2.5</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57" t="str">
        <f>IF(I33=0,"",I33)</f>
        <v>2.5</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Указывается общая сумма расходов на оплату труда и отчислений на социальные нужды административно-управленческого персонала.</v>
      </c>
      <c r="O33" s="1070" t="s">
        <v>868</v>
      </c>
      <c r="P33" s="1070" t="s">
        <v>864</v>
      </c>
      <c r="Q33" s="1070" t="s">
        <v>868</v>
      </c>
      <c r="R33" s="1070" t="s">
        <v>864</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59" t="s">
        <v>2207</v>
      </c>
      <c r="V33" s="959" t="s">
        <v>2207</v>
      </c>
      <c r="W33" s="959" t="s">
        <v>2208</v>
      </c>
      <c r="X33" s="956"/>
      <c r="Y33" s="1113"/>
      <c r="Z33" s="959"/>
      <c r="AA33" s="962" t="s">
        <v>2209</v>
      </c>
      <c r="AB33" s="962" t="s">
        <v>2209</v>
      </c>
      <c r="AC33" s="962" t="s">
        <v>2209</v>
      </c>
      <c r="AD33" s="959"/>
    </row>
    <row customHeight="1" ht="27">
      <c r="A34" s="958"/>
      <c r="B34" s="1012">
        <v>17</v>
      </c>
      <c r="C34" s="956" t="s">
        <v>2210</v>
      </c>
      <c r="D34" s="1080"/>
      <c r="E34" s="956"/>
      <c r="F34" s="956"/>
      <c r="G34" s="1004"/>
      <c r="H34" s="1071"/>
      <c r="I34" s="1118" t="str">
        <f>INDEX(TEMPLATE_NUMBER_POINT_FHD,B34,MATCH(TEMPLATE_SPHERE,TEMPLATE_SPHERE_LIST_FOR_NOTE,0))</f>
        <v>2.5.1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2.5.1</v>
      </c>
      <c r="M34" s="957" t="str">
        <f>IF(J34=0,"",J34)</f>
        <v>Расходы на оплату труда административно-управленческого персонала</v>
      </c>
      <c r="N34" s="957" t="str">
        <f>IF(K34=0,"",K34)</f>
        <v/>
      </c>
      <c r="O34" s="1070" t="s">
        <v>2211</v>
      </c>
      <c r="P34" s="1070" t="s">
        <v>2193</v>
      </c>
      <c r="Q34" s="1070" t="s">
        <v>2211</v>
      </c>
      <c r="R34" s="1070" t="s">
        <v>2193</v>
      </c>
      <c r="S34" s="1070"/>
      <c r="T34" s="1079" t="s">
        <v>2212</v>
      </c>
      <c r="U34" s="959" t="s">
        <v>2212</v>
      </c>
      <c r="V34" s="959" t="s">
        <v>2212</v>
      </c>
      <c r="W34" s="959" t="s">
        <v>2213</v>
      </c>
      <c r="X34" s="956"/>
      <c r="Y34" s="1113"/>
      <c r="Z34" s="959"/>
      <c r="AA34" s="962"/>
      <c r="AB34" s="959"/>
      <c r="AC34" s="959"/>
      <c r="AD34" s="959"/>
    </row>
    <row customHeight="1" ht="45">
      <c r="A35" s="958"/>
      <c r="B35" s="1012">
        <v>18</v>
      </c>
      <c r="C35" s="956" t="s">
        <v>2214</v>
      </c>
      <c r="D35" s="1080"/>
      <c r="E35" s="956"/>
      <c r="F35" s="956"/>
      <c r="G35" s="1004"/>
      <c r="H35" s="1071"/>
      <c r="I35" s="1118" t="str">
        <f>INDEX(TEMPLATE_NUMBER_POINT_FHD,B35,MATCH(TEMPLATE_SPHERE,TEMPLATE_SPHERE_LIST_FOR_NOTE,0))</f>
        <v>2.5.2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2.5.2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2215</v>
      </c>
      <c r="P35" s="1070" t="s">
        <v>2195</v>
      </c>
      <c r="Q35" s="1070" t="s">
        <v>2215</v>
      </c>
      <c r="R35" s="1070" t="s">
        <v>2195</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59" t="s">
        <v>2216</v>
      </c>
      <c r="V35" s="959" t="s">
        <v>2216</v>
      </c>
      <c r="W35" s="959" t="s">
        <v>2216</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2.6</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2.6</v>
      </c>
      <c r="M36" s="957" t="str">
        <f>IF(J36=0,"",J36)</f>
        <v>Расходы на амортизацию основных средств и нематериальных активов</v>
      </c>
      <c r="N36" s="957" t="str">
        <f>IF(K36=0,"",K36)</f>
        <v/>
      </c>
      <c r="O36" s="1070" t="s">
        <v>870</v>
      </c>
      <c r="P36" s="1070" t="s">
        <v>866</v>
      </c>
      <c r="Q36" s="1070" t="s">
        <v>870</v>
      </c>
      <c r="R36" s="1070" t="s">
        <v>866</v>
      </c>
      <c r="S36" s="1070"/>
      <c r="T36" s="1077" t="s">
        <v>2217</v>
      </c>
      <c r="U36" s="959" t="s">
        <v>2217</v>
      </c>
      <c r="V36" s="959" t="s">
        <v>2217</v>
      </c>
      <c r="W36" s="959" t="s">
        <v>2217</v>
      </c>
      <c r="X36" s="956"/>
      <c r="Y36" s="1113"/>
      <c r="Z36" s="959"/>
      <c r="AA36" s="962"/>
      <c r="AB36" s="959"/>
      <c r="AC36" s="959"/>
      <c r="AD36" s="959"/>
    </row>
    <row customHeight="1" ht="18">
      <c r="A37" s="958"/>
      <c r="B37" s="1012">
        <v>20</v>
      </c>
      <c r="C37" s="956" t="s">
        <v>2218</v>
      </c>
      <c r="D37" s="1080"/>
      <c r="E37" s="956"/>
      <c r="F37" s="956"/>
      <c r="G37" s="1004"/>
      <c r="H37" s="1071"/>
      <c r="I37" s="1118" t="str">
        <f>INDEX(TEMPLATE_NUMBER_POINT_FHD,B37,MATCH(TEMPLATE_SPHERE,TEMPLATE_SPHERE_LIST_FOR_NOTE,0))</f>
        <v>2.6.1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2.6.1</v>
      </c>
      <c r="M37" s="957" t="str">
        <f>IF(J37=0,"",J37)</f>
        <v>Расходы на амортизацию основных средств</v>
      </c>
      <c r="N37" s="957" t="str">
        <f>IF(K37=0,"",K37)</f>
        <v/>
      </c>
      <c r="O37" s="1070" t="s">
        <v>2219</v>
      </c>
      <c r="P37" s="1070" t="s">
        <v>2202</v>
      </c>
      <c r="Q37" s="1070" t="s">
        <v>2219</v>
      </c>
      <c r="R37" s="1070" t="s">
        <v>2202</v>
      </c>
      <c r="S37" s="1070"/>
      <c r="T37" s="1077" t="s">
        <v>2220</v>
      </c>
      <c r="U37" s="959" t="s">
        <v>2220</v>
      </c>
      <c r="V37" s="959" t="s">
        <v>2220</v>
      </c>
      <c r="W37" s="959" t="s">
        <v>2220</v>
      </c>
      <c r="X37" s="956"/>
      <c r="Y37" s="1113"/>
      <c r="Z37" s="959"/>
      <c r="AA37" s="962"/>
      <c r="AB37" s="959"/>
      <c r="AC37" s="959"/>
      <c r="AD37" s="959"/>
    </row>
    <row customHeight="1" ht="18">
      <c r="A38" s="958"/>
      <c r="B38" s="1012">
        <v>21</v>
      </c>
      <c r="C38" s="956" t="s">
        <v>2221</v>
      </c>
      <c r="D38" s="1080"/>
      <c r="E38" s="956"/>
      <c r="F38" s="956"/>
      <c r="G38" s="1004"/>
      <c r="H38" s="1071"/>
      <c r="I38" s="1118" t="str">
        <f>INDEX(TEMPLATE_NUMBER_POINT_FHD,B38,MATCH(TEMPLATE_SPHERE,TEMPLATE_SPHERE_LIST_FOR_NOTE,0))</f>
        <v>2.6.2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2.6.2</v>
      </c>
      <c r="M38" s="957" t="str">
        <f>IF(J38=0,"",J38)</f>
        <v>Расходы на амортизацию нематериальных активов</v>
      </c>
      <c r="N38" s="957" t="str">
        <f>IF(K38=0,"",K38)</f>
        <v/>
      </c>
      <c r="O38" s="1070" t="s">
        <v>2222</v>
      </c>
      <c r="P38" s="1070" t="s">
        <v>2205</v>
      </c>
      <c r="Q38" s="1070" t="s">
        <v>2222</v>
      </c>
      <c r="R38" s="1070" t="s">
        <v>2205</v>
      </c>
      <c r="S38" s="1070"/>
      <c r="T38" s="1077" t="s">
        <v>2223</v>
      </c>
      <c r="U38" s="959" t="s">
        <v>2223</v>
      </c>
      <c r="V38" s="959" t="s">
        <v>2223</v>
      </c>
      <c r="W38" s="959" t="s">
        <v>2223</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2.7</v>
      </c>
      <c r="J39" s="11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18">
        <f>INDEX(TEMPLATE_NOTE_POINT_FHD,B39,MATCH(TEMPLATE_SPHERE,TEMPLATE_SPHERE_LIST_FOR_NOTE,0))</f>
        <v>0</v>
      </c>
      <c r="L39" s="957" t="str">
        <f>IF(I39=0,"",I39)</f>
        <v>2.7</v>
      </c>
      <c r="M39" s="957" t="str">
        <f>IF(J39=0,"",J39)</f>
        <v>Расходы на аренду имущества, используемого для осуществления регулируемых видов деятельности в сфере холодного водоснабжения</v>
      </c>
      <c r="N39" s="957" t="str">
        <f>IF(K39=0,"",K39)</f>
        <v/>
      </c>
      <c r="O39" s="1070" t="s">
        <v>874</v>
      </c>
      <c r="P39" s="1070" t="s">
        <v>868</v>
      </c>
      <c r="Q39" s="1070" t="s">
        <v>874</v>
      </c>
      <c r="R39" s="1070" t="s">
        <v>868</v>
      </c>
      <c r="S39" s="1070"/>
      <c r="T39" s="1077" t="s">
        <v>2224</v>
      </c>
      <c r="U39" s="959" t="s">
        <v>2225</v>
      </c>
      <c r="V39" s="959" t="s">
        <v>2226</v>
      </c>
      <c r="W39" s="959" t="s">
        <v>2227</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2.8</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2.8</v>
      </c>
      <c r="M40" s="957" t="str">
        <f>IF(J40=0,"",J40)</f>
        <v>Общепроизводственные расходы, в том числе:</v>
      </c>
      <c r="N40" s="957" t="str">
        <f>IF(K40=0,"",K40)</f>
        <v>Указывается общая сумма общепроизводственных расходов.</v>
      </c>
      <c r="O40" s="1070" t="s">
        <v>2228</v>
      </c>
      <c r="P40" s="1070" t="s">
        <v>870</v>
      </c>
      <c r="Q40" s="1070" t="s">
        <v>2228</v>
      </c>
      <c r="R40" s="1070" t="s">
        <v>870</v>
      </c>
      <c r="S40" s="1070"/>
      <c r="T40" s="956" t="s">
        <v>2229</v>
      </c>
      <c r="U40" s="956" t="s">
        <v>2229</v>
      </c>
      <c r="V40" s="956" t="s">
        <v>2229</v>
      </c>
      <c r="W40" s="956" t="s">
        <v>2229</v>
      </c>
      <c r="X40" s="956"/>
      <c r="Y40" s="1113"/>
      <c r="Z40" s="959" t="s">
        <v>2230</v>
      </c>
      <c r="AA40" s="962" t="s">
        <v>2230</v>
      </c>
      <c r="AB40" s="962" t="s">
        <v>2230</v>
      </c>
      <c r="AC40" s="962" t="s">
        <v>2230</v>
      </c>
      <c r="AD40" s="959"/>
    </row>
    <row customHeight="1" ht="27">
      <c r="A41" s="958"/>
      <c r="B41" s="1012">
        <v>24</v>
      </c>
      <c r="C41" s="956" t="s">
        <v>2231</v>
      </c>
      <c r="D41" s="1080"/>
      <c r="E41" s="956"/>
      <c r="F41" s="956"/>
      <c r="G41" s="956"/>
      <c r="H41" s="1004"/>
      <c r="I41" s="1118" t="str">
        <f>INDEX(TEMPLATE_NUMBER_POINT_FHD,B41,MATCH(TEMPLATE_SPHERE,TEMPLATE_SPHERE_LIST_FOR_NOTE,0))</f>
        <v>2.8.1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2.8.1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2232</v>
      </c>
      <c r="P41" s="1070" t="s">
        <v>2219</v>
      </c>
      <c r="Q41" s="1070" t="s">
        <v>2232</v>
      </c>
      <c r="R41" s="1070" t="s">
        <v>2219</v>
      </c>
      <c r="S41" s="1070"/>
      <c r="T41" s="956" t="s">
        <v>2233</v>
      </c>
      <c r="U41" s="956" t="s">
        <v>2233</v>
      </c>
      <c r="V41" s="956" t="s">
        <v>2233</v>
      </c>
      <c r="W41" s="956" t="s">
        <v>2233</v>
      </c>
      <c r="X41" s="956"/>
      <c r="Y41" s="1113"/>
      <c r="Z41" s="959" t="s">
        <v>2234</v>
      </c>
      <c r="AA41" s="959" t="s">
        <v>2234</v>
      </c>
      <c r="AB41" s="959" t="s">
        <v>2234</v>
      </c>
      <c r="AC41" s="959" t="s">
        <v>2234</v>
      </c>
      <c r="AD41" s="959"/>
    </row>
    <row customHeight="1" ht="27">
      <c r="A42" s="958"/>
      <c r="B42" s="1012">
        <v>25</v>
      </c>
      <c r="C42" s="956" t="s">
        <v>2235</v>
      </c>
      <c r="D42" s="1080"/>
      <c r="E42" s="956"/>
      <c r="F42" s="956"/>
      <c r="G42" s="956"/>
      <c r="H42" s="1004"/>
      <c r="I42" s="1118" t="str">
        <f>INDEX(TEMPLATE_NUMBER_POINT_FHD,B42,MATCH(TEMPLATE_SPHERE,TEMPLATE_SPHERE_LIST_FOR_NOTE,0))</f>
        <v>2.8.2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2.8.2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2236</v>
      </c>
      <c r="P42" s="1070" t="s">
        <v>2222</v>
      </c>
      <c r="Q42" s="1070" t="s">
        <v>2236</v>
      </c>
      <c r="R42" s="1070" t="s">
        <v>2222</v>
      </c>
      <c r="S42" s="1070"/>
      <c r="T42" s="956" t="s">
        <v>2237</v>
      </c>
      <c r="U42" s="956" t="s">
        <v>2237</v>
      </c>
      <c r="V42" s="956" t="s">
        <v>2237</v>
      </c>
      <c r="W42" s="956" t="s">
        <v>2237</v>
      </c>
      <c r="X42" s="956"/>
      <c r="Y42" s="1113"/>
      <c r="Z42" s="959" t="s">
        <v>2238</v>
      </c>
      <c r="AA42" s="959" t="s">
        <v>2238</v>
      </c>
      <c r="AB42" s="959" t="s">
        <v>2238</v>
      </c>
      <c r="AC42" s="959" t="s">
        <v>2238</v>
      </c>
      <c r="AD42" s="959"/>
    </row>
    <row customHeight="1" ht="18">
      <c r="A43" s="958"/>
      <c r="B43" s="1012">
        <v>26</v>
      </c>
      <c r="C43" s="956">
        <v>14</v>
      </c>
      <c r="D43" s="1080"/>
      <c r="E43" s="956"/>
      <c r="F43" s="956"/>
      <c r="G43" s="956"/>
      <c r="H43" s="1004"/>
      <c r="I43" s="1118" t="str">
        <f>INDEX(TEMPLATE_NUMBER_POINT_FHD,B43,MATCH(TEMPLATE_SPHERE,TEMPLATE_SPHERE_LIST_FOR_NOTE,0))</f>
        <v>2.9</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2.9</v>
      </c>
      <c r="M43" s="957" t="str">
        <f>IF(J43=0,"",J43)</f>
        <v>Общехозяйственные расходы, в том числе:</v>
      </c>
      <c r="N43" s="957" t="str">
        <f>IF(K43=0,"",K43)</f>
        <v>Указывается общая сумма общехозяйственных расходов.</v>
      </c>
      <c r="O43" s="1070" t="s">
        <v>2239</v>
      </c>
      <c r="P43" s="1070" t="s">
        <v>874</v>
      </c>
      <c r="Q43" s="1070" t="s">
        <v>2239</v>
      </c>
      <c r="R43" s="1070" t="s">
        <v>874</v>
      </c>
      <c r="S43" s="1070"/>
      <c r="T43" s="956" t="s">
        <v>2240</v>
      </c>
      <c r="U43" s="956" t="s">
        <v>2240</v>
      </c>
      <c r="V43" s="956" t="s">
        <v>2240</v>
      </c>
      <c r="W43" s="956" t="s">
        <v>2240</v>
      </c>
      <c r="X43" s="956"/>
      <c r="Y43" s="1113"/>
      <c r="Z43" s="959" t="s">
        <v>2241</v>
      </c>
      <c r="AA43" s="959" t="s">
        <v>2241</v>
      </c>
      <c r="AB43" s="959" t="s">
        <v>2241</v>
      </c>
      <c r="AC43" s="959" t="s">
        <v>2241</v>
      </c>
      <c r="AD43" s="959"/>
    </row>
    <row customHeight="1" ht="27">
      <c r="A44" s="958"/>
      <c r="B44" s="1012">
        <v>27</v>
      </c>
      <c r="C44" s="956" t="s">
        <v>2242</v>
      </c>
      <c r="D44" s="1080"/>
      <c r="E44" s="956"/>
      <c r="F44" s="956"/>
      <c r="G44" s="956"/>
      <c r="H44" s="1004"/>
      <c r="I44" s="1118" t="str">
        <f>INDEX(TEMPLATE_NUMBER_POINT_FHD,B44,MATCH(TEMPLATE_SPHERE,TEMPLATE_SPHERE_LIST_FOR_NOTE,0))</f>
        <v>2.9.1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2.9.1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2243</v>
      </c>
      <c r="P44" s="1070" t="s">
        <v>2244</v>
      </c>
      <c r="Q44" s="1070" t="s">
        <v>2243</v>
      </c>
      <c r="R44" s="1070" t="s">
        <v>2244</v>
      </c>
      <c r="S44" s="1070"/>
      <c r="T44" s="956" t="s">
        <v>2233</v>
      </c>
      <c r="U44" s="956" t="s">
        <v>2233</v>
      </c>
      <c r="V44" s="956" t="s">
        <v>2233</v>
      </c>
      <c r="W44" s="956" t="s">
        <v>2233</v>
      </c>
      <c r="X44" s="956"/>
      <c r="Y44" s="1113"/>
      <c r="Z44" s="959" t="s">
        <v>2245</v>
      </c>
      <c r="AA44" s="959" t="s">
        <v>2245</v>
      </c>
      <c r="AB44" s="959" t="s">
        <v>2245</v>
      </c>
      <c r="AC44" s="959" t="s">
        <v>2245</v>
      </c>
      <c r="AD44" s="959"/>
    </row>
    <row customHeight="1" ht="27">
      <c r="A45" s="958"/>
      <c r="B45" s="1012">
        <v>28</v>
      </c>
      <c r="C45" s="956" t="s">
        <v>2246</v>
      </c>
      <c r="D45" s="1080"/>
      <c r="E45" s="956"/>
      <c r="F45" s="956"/>
      <c r="G45" s="956"/>
      <c r="H45" s="1004"/>
      <c r="I45" s="1118" t="str">
        <f>INDEX(TEMPLATE_NUMBER_POINT_FHD,B45,MATCH(TEMPLATE_SPHERE,TEMPLATE_SPHERE_LIST_FOR_NOTE,0))</f>
        <v>2.9.2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2.9.2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2247</v>
      </c>
      <c r="P45" s="1070" t="s">
        <v>2248</v>
      </c>
      <c r="Q45" s="1070" t="s">
        <v>2247</v>
      </c>
      <c r="R45" s="1070" t="s">
        <v>2248</v>
      </c>
      <c r="S45" s="1070"/>
      <c r="T45" s="956" t="s">
        <v>2237</v>
      </c>
      <c r="U45" s="956" t="s">
        <v>2237</v>
      </c>
      <c r="V45" s="956" t="s">
        <v>2237</v>
      </c>
      <c r="W45" s="956" t="s">
        <v>2237</v>
      </c>
      <c r="X45" s="956"/>
      <c r="Y45" s="1113"/>
      <c r="Z45" s="959" t="s">
        <v>2249</v>
      </c>
      <c r="AA45" s="959" t="s">
        <v>2249</v>
      </c>
      <c r="AB45" s="959" t="s">
        <v>2249</v>
      </c>
      <c r="AC45" s="959" t="s">
        <v>2249</v>
      </c>
      <c r="AD45" s="959"/>
    </row>
    <row customHeight="1" ht="54">
      <c r="A46" s="958"/>
      <c r="B46" s="1012">
        <v>29</v>
      </c>
      <c r="C46" s="956">
        <v>15</v>
      </c>
      <c r="D46" s="1080"/>
      <c r="E46" s="956"/>
      <c r="F46" s="956"/>
      <c r="G46" s="956"/>
      <c r="H46" s="1004"/>
      <c r="I46" s="1118" t="str">
        <f>INDEX(TEMPLATE_NUMBER_POINT_FHD,B46,MATCH(TEMPLATE_SPHERE,TEMPLATE_SPHERE_LIST_FOR_NOTE,0))</f>
        <v>2.10</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2.10</v>
      </c>
      <c r="M46" s="957" t="str">
        <f>IF(J46=0,"",J46)</f>
        <v>Расходы на капитальный и текущий ремонт основных средств</v>
      </c>
      <c r="N46" s="95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2250</v>
      </c>
      <c r="P46" s="1070" t="s">
        <v>2228</v>
      </c>
      <c r="Q46" s="1070" t="s">
        <v>2250</v>
      </c>
      <c r="R46" s="1070" t="s">
        <v>2228</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56" t="s">
        <v>2251</v>
      </c>
      <c r="V46" s="956" t="s">
        <v>2251</v>
      </c>
      <c r="W46" s="956" t="s">
        <v>2251</v>
      </c>
      <c r="X46" s="956"/>
      <c r="Y46" s="1113"/>
      <c r="Z46" s="959" t="s">
        <v>2252</v>
      </c>
      <c r="AA46" s="959" t="s">
        <v>2253</v>
      </c>
      <c r="AB46" s="959" t="s">
        <v>2253</v>
      </c>
      <c r="AC46" s="959" t="s">
        <v>2253</v>
      </c>
      <c r="AD46" s="959"/>
    </row>
    <row customHeight="1" ht="54">
      <c r="A47" s="958"/>
      <c r="B47" s="1012">
        <v>30</v>
      </c>
      <c r="C47" s="956" t="s">
        <v>2254</v>
      </c>
      <c r="D47" s="1080"/>
      <c r="E47" s="956"/>
      <c r="F47" s="956"/>
      <c r="G47" s="956"/>
      <c r="H47" s="1004"/>
      <c r="I47" s="1118" t="str">
        <f>INDEX(TEMPLATE_NUMBER_POINT_FHD,B47,MATCH(TEMPLATE_SPHERE,TEMPLATE_SPHERE_LIST_FOR_NOTE,0))</f>
        <v>2.10.1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2.10.1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2255</v>
      </c>
      <c r="P47" s="1070" t="s">
        <v>2232</v>
      </c>
      <c r="Q47" s="1070" t="s">
        <v>2255</v>
      </c>
      <c r="R47" s="1070" t="s">
        <v>2232</v>
      </c>
      <c r="S47" s="1070"/>
      <c r="T47" s="956" t="s">
        <v>2256</v>
      </c>
      <c r="U47" s="956" t="s">
        <v>2256</v>
      </c>
      <c r="V47" s="956" t="s">
        <v>2256</v>
      </c>
      <c r="W47" s="956" t="s">
        <v>2256</v>
      </c>
      <c r="X47" s="956"/>
      <c r="Y47" s="1113"/>
      <c r="Z47" s="959"/>
      <c r="AA47" s="962"/>
      <c r="AB47" s="962"/>
      <c r="AC47" s="962"/>
      <c r="AD47" s="959"/>
    </row>
    <row customHeight="1" ht="54">
      <c r="A48" s="958"/>
      <c r="B48" s="1012">
        <v>31</v>
      </c>
      <c r="C48" s="956">
        <v>16</v>
      </c>
      <c r="D48" s="1080"/>
      <c r="E48" s="956"/>
      <c r="F48" s="956"/>
      <c r="G48" s="956"/>
      <c r="H48" s="1004"/>
      <c r="I48" s="1118" t="str">
        <f>INDEX(TEMPLATE_NUMBER_POINT_FHD,B48,MATCH(TEMPLATE_SPHERE,TEMPLATE_SPHERE_LIST_FOR_NOTE,0))</f>
        <v>2.11</v>
      </c>
      <c r="J48" s="11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57" t="str">
        <f>IF(I48=0,"",I48)</f>
        <v>2.11</v>
      </c>
      <c r="M48" s="95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5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0"/>
      <c r="P48" s="1070" t="s">
        <v>2239</v>
      </c>
      <c r="Q48" s="1070" t="s">
        <v>2257</v>
      </c>
      <c r="R48" s="1070" t="s">
        <v>2239</v>
      </c>
      <c r="S48" s="1070"/>
      <c r="T48" s="956"/>
      <c r="U48" s="956" t="s">
        <v>2258</v>
      </c>
      <c r="V48" s="956" t="s">
        <v>2259</v>
      </c>
      <c r="W48" s="956" t="s">
        <v>2259</v>
      </c>
      <c r="X48" s="956"/>
      <c r="Y48" s="1113"/>
      <c r="Z48" s="959"/>
      <c r="AA48" s="962" t="s">
        <v>2253</v>
      </c>
      <c r="AB48" s="962" t="s">
        <v>2253</v>
      </c>
      <c r="AC48" s="962" t="s">
        <v>2253</v>
      </c>
      <c r="AD48" s="959"/>
    </row>
    <row customHeight="1" ht="54">
      <c r="A49" s="958"/>
      <c r="B49" s="1012">
        <v>32</v>
      </c>
      <c r="C49" s="956" t="s">
        <v>2260</v>
      </c>
      <c r="D49" s="1080"/>
      <c r="E49" s="956"/>
      <c r="F49" s="956"/>
      <c r="G49" s="956"/>
      <c r="H49" s="1004"/>
      <c r="I49" s="1118" t="str">
        <f>INDEX(TEMPLATE_NUMBER_POINT_FHD,B49,MATCH(TEMPLATE_SPHERE,TEMPLATE_SPHERE_LIST_FOR_NOTE,0))</f>
        <v>2.11.1</v>
      </c>
      <c r="J49" s="11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18">
        <f>INDEX(TEMPLATE_NOTE_POINT_FHD,B49,MATCH(TEMPLATE_SPHERE,TEMPLATE_SPHERE_LIST_FOR_NOTE,0))</f>
        <v>0</v>
      </c>
      <c r="L49" s="957" t="str">
        <f>IF(I49=0,"",I49)</f>
        <v>2.11.1</v>
      </c>
      <c r="M49" s="95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57" t="str">
        <f>IF(K49=0,"",K49)</f>
        <v/>
      </c>
      <c r="O49" s="1070"/>
      <c r="P49" s="1070" t="s">
        <v>2243</v>
      </c>
      <c r="Q49" s="1070" t="s">
        <v>2261</v>
      </c>
      <c r="R49" s="1070" t="s">
        <v>2243</v>
      </c>
      <c r="S49" s="1070"/>
      <c r="T49" s="956"/>
      <c r="U49" s="956" t="s">
        <v>2256</v>
      </c>
      <c r="V49" s="956" t="s">
        <v>2256</v>
      </c>
      <c r="W49" s="956" t="s">
        <v>2256</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2.12</v>
      </c>
      <c r="J50" s="111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57" t="str">
        <f>IF(I50=0,"",I50)</f>
        <v>2.12</v>
      </c>
      <c r="M50" s="957"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5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0" t="s">
        <v>2257</v>
      </c>
      <c r="P50" s="1070" t="s">
        <v>2250</v>
      </c>
      <c r="Q50" s="1070" t="s">
        <v>2262</v>
      </c>
      <c r="R50" s="1070" t="s">
        <v>2250</v>
      </c>
      <c r="S50" s="1070"/>
      <c r="T50" s="956" t="s">
        <v>2263</v>
      </c>
      <c r="U50" s="956" t="s">
        <v>2264</v>
      </c>
      <c r="V50" s="956" t="s">
        <v>2265</v>
      </c>
      <c r="W50" s="956" t="s">
        <v>2266</v>
      </c>
      <c r="X50" s="956"/>
      <c r="Y50" s="1113"/>
      <c r="Z50" s="959" t="s">
        <v>2267</v>
      </c>
      <c r="AA50" s="962" t="s">
        <v>2268</v>
      </c>
      <c r="AB50" s="962" t="s">
        <v>2268</v>
      </c>
      <c r="AC50" s="962" t="s">
        <v>2268</v>
      </c>
      <c r="AD50" s="959"/>
    </row>
    <row customHeight="1" ht="27">
      <c r="A51" s="958"/>
      <c r="B51" s="1012">
        <v>34</v>
      </c>
      <c r="C51" s="956" t="s">
        <v>2269</v>
      </c>
      <c r="D51" s="1080"/>
      <c r="E51" s="956"/>
      <c r="F51" s="956"/>
      <c r="G51" s="956"/>
      <c r="H51" s="1004"/>
      <c r="I51" s="1118">
        <f>INDEX(TEMPLATE_NUMBER_POINT_FHD,B51,MATCH(TEMPLATE_SPHERE,TEMPLATE_SPHERE_LIST_FOR_NOTE,0))</f>
        <v>0</v>
      </c>
      <c r="J51" s="1118">
        <f>INDEX(TEMPLATE_DATA_POINT_FHD,B51,MATCH(TEMPLATE_SPHERE,TEMPLATE_SPHERE_LIST_FOR_NOTE,0))</f>
        <v>0</v>
      </c>
      <c r="K51" s="1118">
        <f>INDEX(TEMPLATE_NOTE_POINT_FHD,B51,MATCH(TEMPLATE_SPHERE,TEMPLATE_SPHERE_LIST_FOR_NOTE,0))</f>
        <v>0</v>
      </c>
      <c r="L51" s="957" t="str">
        <f>IF(I51=0,"",I51)</f>
        <v/>
      </c>
      <c r="M51" s="957" t="str">
        <f>IF(J51=0,"",J51)</f>
        <v/>
      </c>
      <c r="N51" s="957" t="str">
        <f>IF(K51=0,"",K51)</f>
        <v/>
      </c>
      <c r="O51" s="1070" t="s">
        <v>90</v>
      </c>
      <c r="P51" s="1070"/>
      <c r="Q51" s="1070"/>
      <c r="R51" s="1070"/>
      <c r="S51" s="1070"/>
      <c r="T51" s="956" t="s">
        <v>2270</v>
      </c>
      <c r="U51" s="956"/>
      <c r="V51" s="956"/>
      <c r="W51" s="956"/>
      <c r="X51" s="956"/>
      <c r="Y51" s="1113"/>
      <c r="Z51" s="959"/>
      <c r="AA51" s="962"/>
      <c r="AB51" s="962"/>
      <c r="AC51" s="962"/>
      <c r="AD51" s="959"/>
    </row>
    <row customHeight="1" ht="36">
      <c r="A52" s="958"/>
      <c r="B52" s="1012">
        <v>35</v>
      </c>
      <c r="C52" s="956" t="s">
        <v>2163</v>
      </c>
      <c r="D52" s="1080" t="s">
        <v>2163</v>
      </c>
      <c r="E52" s="956" t="s">
        <v>2163</v>
      </c>
      <c r="F52" s="956" t="s">
        <v>2163</v>
      </c>
      <c r="G52" s="956"/>
      <c r="H52" s="1004"/>
      <c r="I52" s="1118" t="str">
        <f>INDEX(TEMPLATE_NUMBER_POINT_FHD,B52,MATCH(TEMPLATE_SPHERE,TEMPLATE_SPHERE_LIST_FOR_NOTE,0))</f>
        <v>3</v>
      </c>
      <c r="J52" s="111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3</v>
      </c>
      <c r="M52" s="957" t="str">
        <f>IF(J52=0,"",J52)</f>
        <v>Чистая прибыль, полученная от регулируемого вида деятельности в сфере холодного водоснабжения, в том числе:</v>
      </c>
      <c r="N52" s="957" t="str">
        <f>IF(K52=0,"",K52)</f>
        <v>Указывается общая сумма чистой прибыли, полученной от регулируемого вида деятельности.</v>
      </c>
      <c r="O52" s="1070" t="s">
        <v>91</v>
      </c>
      <c r="P52" s="1070" t="s">
        <v>90</v>
      </c>
      <c r="Q52" s="1070" t="s">
        <v>90</v>
      </c>
      <c r="R52" s="1070" t="s">
        <v>90</v>
      </c>
      <c r="S52" s="1070"/>
      <c r="T52" s="956" t="s">
        <v>2271</v>
      </c>
      <c r="U52" s="956" t="s">
        <v>2272</v>
      </c>
      <c r="V52" s="956" t="s">
        <v>2273</v>
      </c>
      <c r="W52" s="956" t="s">
        <v>2274</v>
      </c>
      <c r="X52" s="956"/>
      <c r="Y52" s="1113"/>
      <c r="Z52" s="959" t="s">
        <v>878</v>
      </c>
      <c r="AA52" s="962" t="s">
        <v>878</v>
      </c>
      <c r="AB52" s="962" t="s">
        <v>878</v>
      </c>
      <c r="AC52" s="962" t="s">
        <v>878</v>
      </c>
      <c r="AD52" s="959"/>
    </row>
    <row customHeight="1" ht="36">
      <c r="A53" s="958"/>
      <c r="B53" s="1012">
        <v>36</v>
      </c>
      <c r="C53" s="956">
        <v>1</v>
      </c>
      <c r="D53" s="1080"/>
      <c r="E53" s="956"/>
      <c r="F53" s="956"/>
      <c r="G53" s="956"/>
      <c r="H53" s="1004"/>
      <c r="I53" s="1118" t="str">
        <f>INDEX(TEMPLATE_NUMBER_POINT_FHD,B53,MATCH(TEMPLATE_SPHERE,TEMPLATE_SPHERE_LIST_FOR_NOTE,0))</f>
        <v>3.1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3.1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882</v>
      </c>
      <c r="P53" s="1070" t="s">
        <v>452</v>
      </c>
      <c r="Q53" s="1070" t="s">
        <v>452</v>
      </c>
      <c r="R53" s="1070" t="s">
        <v>452</v>
      </c>
      <c r="S53" s="1070"/>
      <c r="T53" s="956" t="s">
        <v>2275</v>
      </c>
      <c r="U53" s="956" t="s">
        <v>2275</v>
      </c>
      <c r="V53" s="956" t="s">
        <v>2275</v>
      </c>
      <c r="W53" s="956" t="s">
        <v>2275</v>
      </c>
      <c r="X53" s="956"/>
      <c r="Y53" s="1113"/>
      <c r="Z53" s="959"/>
      <c r="AA53" s="962"/>
      <c r="AB53" s="959"/>
      <c r="AC53" s="959"/>
      <c r="AD53" s="959"/>
    </row>
    <row customHeight="1" ht="18">
      <c r="A54" s="958"/>
      <c r="B54" s="1012">
        <v>37</v>
      </c>
      <c r="C54" s="956" t="s">
        <v>2169</v>
      </c>
      <c r="D54" s="1080" t="s">
        <v>2169</v>
      </c>
      <c r="E54" s="956" t="s">
        <v>2169</v>
      </c>
      <c r="F54" s="956" t="s">
        <v>2169</v>
      </c>
      <c r="G54" s="956"/>
      <c r="H54" s="1004"/>
      <c r="I54" s="1118" t="str">
        <f>INDEX(TEMPLATE_NUMBER_POINT_FHD,B54,MATCH(TEMPLATE_SPHERE,TEMPLATE_SPHERE_LIST_FOR_NOTE,0))</f>
        <v>4</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4</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118</v>
      </c>
      <c r="P54" s="1070" t="s">
        <v>91</v>
      </c>
      <c r="Q54" s="1070" t="s">
        <v>91</v>
      </c>
      <c r="R54" s="1070" t="s">
        <v>91</v>
      </c>
      <c r="S54" s="1070"/>
      <c r="T54" s="956" t="s">
        <v>880</v>
      </c>
      <c r="U54" s="956" t="s">
        <v>880</v>
      </c>
      <c r="V54" s="956" t="s">
        <v>880</v>
      </c>
      <c r="W54" s="956" t="s">
        <v>880</v>
      </c>
      <c r="X54" s="956"/>
      <c r="Y54" s="1113"/>
      <c r="Z54" s="959" t="s">
        <v>881</v>
      </c>
      <c r="AA54" s="959" t="s">
        <v>881</v>
      </c>
      <c r="AB54" s="959" t="s">
        <v>881</v>
      </c>
      <c r="AC54" s="959" t="s">
        <v>881</v>
      </c>
      <c r="AD54" s="959"/>
    </row>
    <row customHeight="1" ht="36">
      <c r="A55" s="958"/>
      <c r="B55" s="1012">
        <v>38</v>
      </c>
      <c r="C55" s="956">
        <v>1</v>
      </c>
      <c r="D55" s="1080"/>
      <c r="E55" s="956"/>
      <c r="F55" s="956"/>
      <c r="G55" s="956"/>
      <c r="H55" s="1004"/>
      <c r="I55" s="1118" t="str">
        <f>INDEX(TEMPLATE_NUMBER_POINT_FHD,B55,MATCH(TEMPLATE_SPHERE,TEMPLATE_SPHERE_LIST_FOR_NOTE,0))</f>
        <v>4.1</v>
      </c>
      <c r="J55" s="1118" t="str">
        <f>INDEX(TEMPLATE_DATA_POINT_FHD,B55,MATCH(TEMPLATE_SPHERE,TEMPLATE_SPHERE_LIST_FOR_NOTE,0))</f>
        <v>Изменение стоимости основных фондов за счет их ввода в эксплуатацию (вывода из эксплуатации)</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4.1</v>
      </c>
      <c r="M55" s="957" t="str">
        <f>IF(J55=0,"",J55)</f>
        <v>Изменение стоимости основных фондов за счет их ввода в эксплуатацию (вывода из эксплуатации)</v>
      </c>
      <c r="N55" s="957" t="str">
        <f>IF(K55=0,"",K55)</f>
        <v>Указываются общее изменение стоимости основных фондов за счет их ввода в эксплуатацию и вывода из эксплуатации.</v>
      </c>
      <c r="O55" s="1070" t="s">
        <v>441</v>
      </c>
      <c r="P55" s="1070" t="s">
        <v>882</v>
      </c>
      <c r="Q55" s="1070" t="s">
        <v>882</v>
      </c>
      <c r="R55" s="1070" t="s">
        <v>882</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56" t="s">
        <v>2276</v>
      </c>
      <c r="V55" s="956" t="s">
        <v>2276</v>
      </c>
      <c r="W55" s="956" t="s">
        <v>2276</v>
      </c>
      <c r="X55" s="956"/>
      <c r="Y55" s="1113"/>
      <c r="Z55" s="959" t="s">
        <v>2277</v>
      </c>
      <c r="AA55" s="959" t="s">
        <v>2277</v>
      </c>
      <c r="AB55" s="959" t="s">
        <v>2277</v>
      </c>
      <c r="AC55" s="959" t="s">
        <v>2277</v>
      </c>
      <c r="AD55" s="959"/>
    </row>
    <row customHeight="1" ht="27">
      <c r="A56" s="958"/>
      <c r="B56" s="1012">
        <v>39</v>
      </c>
      <c r="C56" s="956" t="s">
        <v>1150</v>
      </c>
      <c r="D56" s="1080"/>
      <c r="E56" s="956"/>
      <c r="F56" s="956"/>
      <c r="G56" s="956"/>
      <c r="H56" s="1004"/>
      <c r="I56" s="1118" t="str">
        <f>INDEX(TEMPLATE_NUMBER_POINT_FHD,B56,MATCH(TEMPLATE_SPHERE,TEMPLATE_SPHERE_LIST_FOR_NOTE,0))</f>
        <v>4.1.1</v>
      </c>
      <c r="J56" s="1118" t="str">
        <f>INDEX(TEMPLATE_DATA_POINT_FHD,B56,MATCH(TEMPLATE_SPHERE,TEMPLATE_SPHERE_LIST_FOR_NOTE,0))</f>
        <v>Изменение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4.1.1</v>
      </c>
      <c r="M56" s="957" t="str">
        <f>IF(J56=0,"",J56)</f>
        <v>Изменение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1267</v>
      </c>
      <c r="P56" s="1070" t="s">
        <v>885</v>
      </c>
      <c r="Q56" s="1070" t="s">
        <v>885</v>
      </c>
      <c r="R56" s="1070" t="s">
        <v>885</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56" t="s">
        <v>2278</v>
      </c>
      <c r="V56" s="956" t="s">
        <v>2278</v>
      </c>
      <c r="W56" s="956" t="s">
        <v>2278</v>
      </c>
      <c r="X56" s="956"/>
      <c r="Y56" s="1113"/>
      <c r="Z56" s="959" t="s">
        <v>887</v>
      </c>
      <c r="AA56" s="959" t="s">
        <v>887</v>
      </c>
      <c r="AB56" s="959" t="s">
        <v>887</v>
      </c>
      <c r="AC56" s="959" t="s">
        <v>887</v>
      </c>
      <c r="AD56" s="959"/>
    </row>
    <row customHeight="1" ht="27">
      <c r="A57" s="958"/>
      <c r="B57" s="1012">
        <v>40</v>
      </c>
      <c r="C57" s="956" t="s">
        <v>1152</v>
      </c>
      <c r="D57" s="1080"/>
      <c r="E57" s="956"/>
      <c r="F57" s="956"/>
      <c r="G57" s="956"/>
      <c r="H57" s="1004"/>
      <c r="I57" s="1118" t="str">
        <f>INDEX(TEMPLATE_NUMBER_POINT_FHD,B57,MATCH(TEMPLATE_SPHERE,TEMPLATE_SPHERE_LIST_FOR_NOTE,0))</f>
        <v>4.1.2</v>
      </c>
      <c r="J57" s="1118" t="str">
        <f>INDEX(TEMPLATE_DATA_POINT_FHD,B57,MATCH(TEMPLATE_SPHERE,TEMPLATE_SPHERE_LIST_FOR_NOTE,0))</f>
        <v>Изменение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4.1.2</v>
      </c>
      <c r="M57" s="957" t="str">
        <f>IF(J57=0,"",J57)</f>
        <v>Изменение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2279</v>
      </c>
      <c r="P57" s="1070" t="s">
        <v>888</v>
      </c>
      <c r="Q57" s="1070" t="s">
        <v>888</v>
      </c>
      <c r="R57" s="1070" t="s">
        <v>888</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56" t="s">
        <v>2280</v>
      </c>
      <c r="V57" s="956" t="s">
        <v>2280</v>
      </c>
      <c r="W57" s="956" t="s">
        <v>2280</v>
      </c>
      <c r="X57" s="956"/>
      <c r="Y57" s="1113"/>
      <c r="Z57" s="959" t="s">
        <v>890</v>
      </c>
      <c r="AA57" s="959" t="s">
        <v>890</v>
      </c>
      <c r="AB57" s="959" t="s">
        <v>890</v>
      </c>
      <c r="AC57" s="959" t="s">
        <v>890</v>
      </c>
      <c r="AD57" s="959"/>
    </row>
    <row customHeight="1" ht="18">
      <c r="A58" s="958"/>
      <c r="B58" s="1012">
        <v>41</v>
      </c>
      <c r="C58" s="956">
        <v>2</v>
      </c>
      <c r="D58" s="1080"/>
      <c r="E58" s="956"/>
      <c r="F58" s="956"/>
      <c r="G58" s="956"/>
      <c r="H58" s="1004"/>
      <c r="I58" s="1118" t="str">
        <f>INDEX(TEMPLATE_NUMBER_POINT_FHD,B58,MATCH(TEMPLATE_SPHERE,TEMPLATE_SPHERE_LIST_FOR_NOTE,0))</f>
        <v>4.2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4.2</v>
      </c>
      <c r="M58" s="957" t="str">
        <f>IF(J58=0,"",J58)</f>
        <v>Изменение стоимости основных фондов за счет их переоценки</v>
      </c>
      <c r="N58" s="957" t="str">
        <f>IF(K58=0,"",K58)</f>
        <v/>
      </c>
      <c r="O58" s="1070" t="s">
        <v>1010</v>
      </c>
      <c r="P58" s="1070" t="s">
        <v>924</v>
      </c>
      <c r="Q58" s="1070" t="s">
        <v>924</v>
      </c>
      <c r="R58" s="1070" t="s">
        <v>924</v>
      </c>
      <c r="S58" s="1070"/>
      <c r="T58" s="957" t="str">
        <f>IF(TITLE_TYPE_ORG="Регулируемая организация","Изменение стоимости основных фондов за счет их переоценки","за счет их переоценки")</f>
        <v>за счет их переоценки</v>
      </c>
      <c r="U58" s="956" t="s">
        <v>2281</v>
      </c>
      <c r="V58" s="956" t="s">
        <v>2281</v>
      </c>
      <c r="W58" s="956" t="s">
        <v>2281</v>
      </c>
      <c r="X58" s="956"/>
      <c r="Y58" s="1113"/>
      <c r="Z58" s="959"/>
      <c r="AA58" s="962"/>
      <c r="AB58" s="959"/>
      <c r="AC58" s="959"/>
      <c r="AD58" s="959"/>
    </row>
    <row customHeight="1" ht="36">
      <c r="A59" s="958"/>
      <c r="B59" s="1012">
        <v>42</v>
      </c>
      <c r="C59" s="956">
        <v>3</v>
      </c>
      <c r="D59" s="1080" t="s">
        <v>2269</v>
      </c>
      <c r="E59" s="956" t="s">
        <v>2269</v>
      </c>
      <c r="F59" s="956" t="s">
        <v>2269</v>
      </c>
      <c r="G59" s="956"/>
      <c r="H59" s="1004"/>
      <c r="I59" s="1118" t="str">
        <f>INDEX(TEMPLATE_NUMBER_POINT_FHD,B59,MATCH(TEMPLATE_SPHERE,TEMPLATE_SPHERE_LIST_FOR_NOTE,0))</f>
        <v>5</v>
      </c>
      <c r="J59" s="111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18">
        <f>INDEX(TEMPLATE_NOTE_POINT_FHD,B59,MATCH(TEMPLATE_SPHERE,TEMPLATE_SPHERE_LIST_FOR_NOTE,0))</f>
        <v>0</v>
      </c>
      <c r="L59" s="957" t="str">
        <f>IF(I59=0,"",I59)</f>
        <v>5</v>
      </c>
      <c r="M59" s="957" t="str">
        <f>IF(J59=0,"",J59)</f>
        <v>Валовая прибыль (убытки) от продажи товаров и услуг по регулируемым видам деятельности в сфере холодного водоснабжения</v>
      </c>
      <c r="N59" s="957" t="str">
        <f>IF(K59=0,"",K59)</f>
        <v/>
      </c>
      <c r="O59" s="1070"/>
      <c r="P59" s="1070" t="s">
        <v>118</v>
      </c>
      <c r="Q59" s="1070" t="s">
        <v>118</v>
      </c>
      <c r="R59" s="1070" t="s">
        <v>118</v>
      </c>
      <c r="S59" s="1070"/>
      <c r="T59" s="956"/>
      <c r="U59" s="956" t="s">
        <v>2282</v>
      </c>
      <c r="V59" s="956" t="s">
        <v>2283</v>
      </c>
      <c r="W59" s="956" t="s">
        <v>2284</v>
      </c>
      <c r="X59" s="956"/>
      <c r="Y59" s="1113"/>
      <c r="Z59" s="959"/>
      <c r="AA59" s="962"/>
      <c r="AB59" s="959"/>
      <c r="AC59" s="959"/>
      <c r="AD59" s="959"/>
    </row>
    <row customHeight="1" ht="81">
      <c r="A60" s="958"/>
      <c r="B60" s="1012">
        <v>43</v>
      </c>
      <c r="C60" s="956" t="s">
        <v>2285</v>
      </c>
      <c r="D60" s="1080" t="s">
        <v>2285</v>
      </c>
      <c r="E60" s="956" t="s">
        <v>2285</v>
      </c>
      <c r="F60" s="956" t="s">
        <v>2285</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70" t="s">
        <v>92</v>
      </c>
      <c r="P60" s="1070" t="s">
        <v>92</v>
      </c>
      <c r="Q60" s="1070" t="s">
        <v>92</v>
      </c>
      <c r="R60" s="1070" t="s">
        <v>92</v>
      </c>
      <c r="S60" s="1070"/>
      <c r="T60" s="956" t="s">
        <v>758</v>
      </c>
      <c r="U60" s="956" t="s">
        <v>758</v>
      </c>
      <c r="V60" s="956" t="s">
        <v>758</v>
      </c>
      <c r="W60" s="956" t="s">
        <v>758</v>
      </c>
      <c r="X60" s="956"/>
      <c r="Y60" s="1113"/>
      <c r="Z60" s="959" t="s">
        <v>2286</v>
      </c>
      <c r="AA60" s="962" t="s">
        <v>2287</v>
      </c>
      <c r="AB60" s="959" t="s">
        <v>2288</v>
      </c>
      <c r="AC60" s="959" t="s">
        <v>2287</v>
      </c>
      <c r="AD60" s="959"/>
    </row>
    <row customHeight="1" ht="9">
      <c r="A61" s="958"/>
      <c r="B61" s="1012">
        <v>44</v>
      </c>
      <c r="C61" s="956"/>
      <c r="D61" s="1080" t="s">
        <v>2289</v>
      </c>
      <c r="E61" s="956"/>
      <c r="F61" s="956"/>
      <c r="G61" s="956"/>
      <c r="H61" s="1004"/>
      <c r="I61" s="1118" t="str">
        <f>INDEX(TEMPLATE_NUMBER_POINT_FHD,B61,MATCH(TEMPLATE_SPHERE,TEMPLATE_SPHERE_LIST_FOR_NOTE,0))</f>
        <v>7</v>
      </c>
      <c r="J61" s="1118" t="str">
        <f>INDEX(TEMPLATE_DATA_POINT_FHD,B61,MATCH(TEMPLATE_SPHERE,TEMPLATE_SPHERE_LIST_FOR_NOTE,0))</f>
        <v>Объём поднятой воды</v>
      </c>
      <c r="K61" s="1118">
        <f>INDEX(TEMPLATE_NOTE_POINT_FHD,B61,MATCH(TEMPLATE_SPHERE,TEMPLATE_SPHERE_LIST_FOR_NOTE,0))</f>
        <v>0</v>
      </c>
      <c r="L61" s="957" t="str">
        <f>IF(I61=0,"",I61)</f>
        <v>7</v>
      </c>
      <c r="M61" s="957" t="str">
        <f>IF(J61=0,"",J61)</f>
        <v>Объём поднятой воды</v>
      </c>
      <c r="N61" s="957" t="str">
        <f>IF(K61=0,"",K61)</f>
        <v/>
      </c>
      <c r="O61" s="1070"/>
      <c r="P61" s="1070" t="s">
        <v>93</v>
      </c>
      <c r="Q61" s="1070"/>
      <c r="R61" s="1070"/>
      <c r="S61" s="1070"/>
      <c r="T61" s="956"/>
      <c r="U61" s="956" t="s">
        <v>2290</v>
      </c>
      <c r="V61" s="956"/>
      <c r="W61" s="956"/>
      <c r="X61" s="956"/>
      <c r="Y61" s="1113"/>
      <c r="Z61" s="959"/>
      <c r="AA61" s="962"/>
      <c r="AB61" s="959"/>
      <c r="AC61" s="959"/>
      <c r="AD61" s="959"/>
    </row>
    <row customHeight="1" ht="9">
      <c r="A62" s="958"/>
      <c r="B62" s="1012">
        <v>45</v>
      </c>
      <c r="C62" s="956"/>
      <c r="D62" s="1080" t="s">
        <v>2291</v>
      </c>
      <c r="E62" s="956"/>
      <c r="F62" s="956"/>
      <c r="G62" s="956"/>
      <c r="H62" s="1004"/>
      <c r="I62" s="1118" t="str">
        <f>INDEX(TEMPLATE_NUMBER_POINT_FHD,B62,MATCH(TEMPLATE_SPHERE,TEMPLATE_SPHERE_LIST_FOR_NOTE,0))</f>
        <v>8</v>
      </c>
      <c r="J62" s="1118" t="str">
        <f>INDEX(TEMPLATE_DATA_POINT_FHD,B62,MATCH(TEMPLATE_SPHERE,TEMPLATE_SPHERE_LIST_FOR_NOTE,0))</f>
        <v>Объём покупной воды</v>
      </c>
      <c r="K62" s="1118">
        <f>INDEX(TEMPLATE_NOTE_POINT_FHD,B62,MATCH(TEMPLATE_SPHERE,TEMPLATE_SPHERE_LIST_FOR_NOTE,0))</f>
        <v>0</v>
      </c>
      <c r="L62" s="957" t="str">
        <f>IF(I62=0,"",I62)</f>
        <v>8</v>
      </c>
      <c r="M62" s="957" t="str">
        <f>IF(J62=0,"",J62)</f>
        <v>Объём покупной воды</v>
      </c>
      <c r="N62" s="957" t="str">
        <f>IF(K62=0,"",K62)</f>
        <v/>
      </c>
      <c r="O62" s="1070"/>
      <c r="P62" s="1070" t="s">
        <v>131</v>
      </c>
      <c r="Q62" s="1070"/>
      <c r="R62" s="1070"/>
      <c r="S62" s="1070"/>
      <c r="T62" s="956"/>
      <c r="U62" s="956" t="s">
        <v>2292</v>
      </c>
      <c r="V62" s="956"/>
      <c r="W62" s="956"/>
      <c r="X62" s="956"/>
      <c r="Y62" s="1113"/>
      <c r="Z62" s="959"/>
      <c r="AA62" s="962"/>
      <c r="AB62" s="959"/>
      <c r="AC62" s="959"/>
      <c r="AD62" s="959"/>
    </row>
    <row customHeight="1" ht="18">
      <c r="A63" s="958"/>
      <c r="B63" s="1012">
        <v>46</v>
      </c>
      <c r="C63" s="956"/>
      <c r="D63" s="1080" t="s">
        <v>2293</v>
      </c>
      <c r="E63" s="956"/>
      <c r="F63" s="956"/>
      <c r="G63" s="956"/>
      <c r="H63" s="1004"/>
      <c r="I63" s="1118" t="str">
        <f>INDEX(TEMPLATE_NUMBER_POINT_FHD,B63,MATCH(TEMPLATE_SPHERE,TEMPLATE_SPHERE_LIST_FOR_NOTE,0))</f>
        <v>9</v>
      </c>
      <c r="J63" s="1118" t="str">
        <f>INDEX(TEMPLATE_DATA_POINT_FHD,B63,MATCH(TEMPLATE_SPHERE,TEMPLATE_SPHERE_LIST_FOR_NOTE,0))</f>
        <v>Объём воды, пропущенной через очистные сооружения</v>
      </c>
      <c r="K63" s="1118">
        <f>INDEX(TEMPLATE_NOTE_POINT_FHD,B63,MATCH(TEMPLATE_SPHERE,TEMPLATE_SPHERE_LIST_FOR_NOTE,0))</f>
        <v>0</v>
      </c>
      <c r="L63" s="957" t="str">
        <f>IF(I63=0,"",I63)</f>
        <v>9</v>
      </c>
      <c r="M63" s="957" t="str">
        <f>IF(J63=0,"",J63)</f>
        <v>Объём воды, пропущенной через очистные сооружения</v>
      </c>
      <c r="N63" s="957" t="str">
        <f>IF(K63=0,"",K63)</f>
        <v/>
      </c>
      <c r="O63" s="1070"/>
      <c r="P63" s="1070" t="s">
        <v>136</v>
      </c>
      <c r="Q63" s="1070"/>
      <c r="R63" s="1070"/>
      <c r="S63" s="1070"/>
      <c r="T63" s="956"/>
      <c r="U63" s="956" t="s">
        <v>2294</v>
      </c>
      <c r="V63" s="956"/>
      <c r="W63" s="956"/>
      <c r="X63" s="956"/>
      <c r="Y63" s="1113"/>
      <c r="Z63" s="959"/>
      <c r="AA63" s="962"/>
      <c r="AB63" s="959"/>
      <c r="AC63" s="959"/>
      <c r="AD63" s="959"/>
    </row>
    <row customHeight="1" ht="18">
      <c r="A64" s="958"/>
      <c r="B64" s="1012">
        <v>47</v>
      </c>
      <c r="C64" s="956"/>
      <c r="D64" s="1080" t="s">
        <v>2295</v>
      </c>
      <c r="E64" s="956"/>
      <c r="F64" s="956"/>
      <c r="G64" s="956"/>
      <c r="H64" s="1004"/>
      <c r="I64" s="1118" t="str">
        <f>INDEX(TEMPLATE_NUMBER_POINT_FHD,B64,MATCH(TEMPLATE_SPHERE,TEMPLATE_SPHERE_LIST_FOR_NOTE,0))</f>
        <v>10</v>
      </c>
      <c r="J64" s="1118" t="str">
        <f>INDEX(TEMPLATE_DATA_POINT_FHD,B64,MATCH(TEMPLATE_SPHERE,TEMPLATE_SPHERE_LIST_FOR_NOTE,0))</f>
        <v>Объём отпущенной потребителям воды, в том числе:</v>
      </c>
      <c r="K64" s="1118" t="str">
        <f>INDEX(TEMPLATE_NOTE_POINT_FHD,B64,MATCH(TEMPLATE_SPHERE,TEMPLATE_SPHERE_LIST_FOR_NOTE,0))</f>
        <v>Указывается общий объем отпущенной потребителям воды.</v>
      </c>
      <c r="L64" s="957" t="str">
        <f>IF(I64=0,"",I64)</f>
        <v>10</v>
      </c>
      <c r="M64" s="957" t="str">
        <f>IF(J64=0,"",J64)</f>
        <v>Объём отпущенной потребителям воды, в том числе:</v>
      </c>
      <c r="N64" s="957" t="str">
        <f>IF(K64=0,"",K64)</f>
        <v>Указывается общий объем отпущенной потребителям воды.</v>
      </c>
      <c r="O64" s="1070"/>
      <c r="P64" s="1070" t="s">
        <v>141</v>
      </c>
      <c r="Q64" s="1070"/>
      <c r="R64" s="1070"/>
      <c r="S64" s="1070"/>
      <c r="T64" s="956"/>
      <c r="U64" s="956" t="s">
        <v>2296</v>
      </c>
      <c r="V64" s="956"/>
      <c r="W64" s="956"/>
      <c r="X64" s="956"/>
      <c r="Y64" s="1113"/>
      <c r="Z64" s="959"/>
      <c r="AA64" s="962" t="s">
        <v>2297</v>
      </c>
      <c r="AB64" s="959"/>
      <c r="AC64" s="959"/>
      <c r="AD64" s="959"/>
    </row>
    <row customHeight="1" ht="18">
      <c r="A65" s="958"/>
      <c r="B65" s="1012">
        <v>48</v>
      </c>
      <c r="C65" s="956"/>
      <c r="D65" s="1080"/>
      <c r="E65" s="956"/>
      <c r="F65" s="956"/>
      <c r="G65" s="956"/>
      <c r="H65" s="1004"/>
      <c r="I65" s="1118" t="str">
        <f>INDEX(TEMPLATE_NUMBER_POINT_FHD,B65,MATCH(TEMPLATE_SPHERE,TEMPLATE_SPHERE_LIST_FOR_NOTE,0))</f>
        <v>10.1</v>
      </c>
      <c r="J65" s="1118" t="str">
        <f>INDEX(TEMPLATE_DATA_POINT_FHD,B65,MATCH(TEMPLATE_SPHERE,TEMPLATE_SPHERE_LIST_FOR_NOTE,0))</f>
        <v>Объём отпущенной потребителям воды, определенный по приборам учета</v>
      </c>
      <c r="K65" s="1118">
        <f>INDEX(TEMPLATE_NOTE_POINT_FHD,B65,MATCH(TEMPLATE_SPHERE,TEMPLATE_SPHERE_LIST_FOR_NOTE,0))</f>
        <v>0</v>
      </c>
      <c r="L65" s="957" t="str">
        <f>IF(I65=0,"",I65)</f>
        <v>10.1</v>
      </c>
      <c r="M65" s="957" t="str">
        <f>IF(J65=0,"",J65)</f>
        <v>Объём отпущенной потребителям воды, определенный по приборам учета</v>
      </c>
      <c r="N65" s="957" t="str">
        <f>IF(K65=0,"",K65)</f>
        <v/>
      </c>
      <c r="O65" s="1070"/>
      <c r="P65" s="1070" t="s">
        <v>2210</v>
      </c>
      <c r="Q65" s="1070"/>
      <c r="R65" s="1070"/>
      <c r="S65" s="1070"/>
      <c r="T65" s="956"/>
      <c r="U65" s="956" t="s">
        <v>2298</v>
      </c>
      <c r="V65" s="956"/>
      <c r="W65" s="956"/>
      <c r="X65" s="956"/>
      <c r="Y65" s="1113"/>
      <c r="Z65" s="959"/>
      <c r="AA65" s="962"/>
      <c r="AB65" s="959"/>
      <c r="AC65" s="959"/>
      <c r="AD65" s="959"/>
    </row>
    <row customHeight="1" ht="18">
      <c r="A66" s="958"/>
      <c r="B66" s="1012">
        <v>49</v>
      </c>
      <c r="C66" s="956"/>
      <c r="D66" s="1080"/>
      <c r="E66" s="956"/>
      <c r="F66" s="956"/>
      <c r="G66" s="956"/>
      <c r="H66" s="1004"/>
      <c r="I66" s="1118" t="str">
        <f>INDEX(TEMPLATE_NUMBER_POINT_FHD,B66,MATCH(TEMPLATE_SPHERE,TEMPLATE_SPHERE_LIST_FOR_NOTE,0))</f>
        <v>10.2</v>
      </c>
      <c r="J66" s="1118" t="str">
        <f>INDEX(TEMPLATE_DATA_POINT_FHD,B66,MATCH(TEMPLATE_SPHERE,TEMPLATE_SPHERE_LIST_FOR_NOTE,0))</f>
        <v>Объём отпущенной потребителям воды, определенный расчетным способом</v>
      </c>
      <c r="K66" s="1118">
        <f>INDEX(TEMPLATE_NOTE_POINT_FHD,B66,MATCH(TEMPLATE_SPHERE,TEMPLATE_SPHERE_LIST_FOR_NOTE,0))</f>
        <v>0</v>
      </c>
      <c r="L66" s="957" t="str">
        <f>IF(I66=0,"",I66)</f>
        <v>10.2</v>
      </c>
      <c r="M66" s="957" t="str">
        <f>IF(J66=0,"",J66)</f>
        <v>Объём отпущенной потребителям воды, определенный расчетным способом</v>
      </c>
      <c r="N66" s="957" t="str">
        <f>IF(K66=0,"",K66)</f>
        <v/>
      </c>
      <c r="O66" s="1070"/>
      <c r="P66" s="1070" t="s">
        <v>2214</v>
      </c>
      <c r="Q66" s="1070"/>
      <c r="R66" s="1070"/>
      <c r="S66" s="1070"/>
      <c r="T66" s="956"/>
      <c r="U66" s="956" t="s">
        <v>2299</v>
      </c>
      <c r="V66" s="956"/>
      <c r="W66" s="956"/>
      <c r="X66" s="956"/>
      <c r="Y66" s="1113"/>
      <c r="Z66" s="959"/>
      <c r="AA66" s="962"/>
      <c r="AB66" s="959"/>
      <c r="AC66" s="959"/>
      <c r="AD66" s="959"/>
    </row>
    <row customHeight="1" ht="27">
      <c r="A67" s="958"/>
      <c r="B67" s="1012">
        <v>50</v>
      </c>
      <c r="C67" s="956"/>
      <c r="D67" s="1080"/>
      <c r="E67" s="956"/>
      <c r="F67" s="956"/>
      <c r="G67" s="956"/>
      <c r="H67" s="1004"/>
      <c r="I67" s="1118" t="str">
        <f>INDEX(TEMPLATE_NUMBER_POINT_FHD,B67,MATCH(TEMPLATE_SPHERE,TEMPLATE_SPHERE_LIST_FOR_NOTE,0))</f>
        <v>10.2.1</v>
      </c>
      <c r="J67" s="111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118">
        <f>INDEX(TEMPLATE_NOTE_POINT_FHD,B67,MATCH(TEMPLATE_SPHERE,TEMPLATE_SPHERE_LIST_FOR_NOTE,0))</f>
        <v>0</v>
      </c>
      <c r="L67" s="957" t="str">
        <f>IF(I67=0,"",I67)</f>
        <v>10.2.1</v>
      </c>
      <c r="M67" s="957" t="str">
        <f>IF(J67=0,"",J67)</f>
        <v>Объём отпущенной потребителям воды, определенный по нормативам потребления коммунальных услуг</v>
      </c>
      <c r="N67" s="957" t="str">
        <f>IF(K67=0,"",K67)</f>
        <v/>
      </c>
      <c r="O67" s="1070"/>
      <c r="P67" s="1070" t="s">
        <v>2300</v>
      </c>
      <c r="Q67" s="1070"/>
      <c r="R67" s="1070"/>
      <c r="S67" s="1070"/>
      <c r="T67" s="956"/>
      <c r="U67" s="956" t="s">
        <v>2301</v>
      </c>
      <c r="V67" s="956"/>
      <c r="W67" s="956"/>
      <c r="X67" s="956"/>
      <c r="Y67" s="1113"/>
      <c r="Z67" s="959"/>
      <c r="AA67" s="962"/>
      <c r="AB67" s="959"/>
      <c r="AC67" s="959"/>
      <c r="AD67" s="959"/>
    </row>
    <row customHeight="1" ht="27">
      <c r="A68" s="958"/>
      <c r="B68" s="1012">
        <v>51</v>
      </c>
      <c r="C68" s="956"/>
      <c r="D68" s="1080"/>
      <c r="E68" s="956"/>
      <c r="F68" s="956"/>
      <c r="G68" s="956"/>
      <c r="H68" s="1004"/>
      <c r="I68" s="1118" t="str">
        <f>INDEX(TEMPLATE_NUMBER_POINT_FHD,B68,MATCH(TEMPLATE_SPHERE,TEMPLATE_SPHERE_LIST_FOR_NOTE,0))</f>
        <v>10.2.2</v>
      </c>
      <c r="J68" s="111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18">
        <f>INDEX(TEMPLATE_NOTE_POINT_FHD,B68,MATCH(TEMPLATE_SPHERE,TEMPLATE_SPHERE_LIST_FOR_NOTE,0))</f>
        <v>0</v>
      </c>
      <c r="L68" s="957" t="str">
        <f>IF(I68=0,"",I68)</f>
        <v>10.2.2</v>
      </c>
      <c r="M68" s="957" t="str">
        <f>IF(J68=0,"",J68)</f>
        <v>Объём отпущенной потребителям воды, определенный по нормативам потребления коммунальных ресурсов </v>
      </c>
      <c r="N68" s="957" t="str">
        <f>IF(K68=0,"",K68)</f>
        <v/>
      </c>
      <c r="O68" s="1070"/>
      <c r="P68" s="1070" t="s">
        <v>2302</v>
      </c>
      <c r="Q68" s="1070"/>
      <c r="R68" s="1070"/>
      <c r="S68" s="1070"/>
      <c r="T68" s="956"/>
      <c r="U68" s="956" t="s">
        <v>2303</v>
      </c>
      <c r="V68" s="956"/>
      <c r="W68" s="956"/>
      <c r="X68" s="956"/>
      <c r="Y68" s="1113"/>
      <c r="Z68" s="959"/>
      <c r="AA68" s="962"/>
      <c r="AB68" s="959"/>
      <c r="AC68" s="959"/>
      <c r="AD68" s="959"/>
    </row>
    <row customHeight="1" ht="9">
      <c r="A69" s="958"/>
      <c r="B69" s="1012">
        <v>52</v>
      </c>
      <c r="C69" s="956"/>
      <c r="D69" s="1080" t="s">
        <v>2304</v>
      </c>
      <c r="E69" s="956"/>
      <c r="F69" s="956"/>
      <c r="G69" s="956"/>
      <c r="H69" s="1004"/>
      <c r="I69" s="1118" t="str">
        <f>INDEX(TEMPLATE_NUMBER_POINT_FHD,B69,MATCH(TEMPLATE_SPHERE,TEMPLATE_SPHERE_LIST_FOR_NOTE,0))</f>
        <v>11</v>
      </c>
      <c r="J69" s="1118" t="str">
        <f>INDEX(TEMPLATE_DATA_POINT_FHD,B69,MATCH(TEMPLATE_SPHERE,TEMPLATE_SPHERE_LIST_FOR_NOTE,0))</f>
        <v>Потери воды в сетях</v>
      </c>
      <c r="K69" s="1118">
        <f>INDEX(TEMPLATE_NOTE_POINT_FHD,B69,MATCH(TEMPLATE_SPHERE,TEMPLATE_SPHERE_LIST_FOR_NOTE,0))</f>
        <v>0</v>
      </c>
      <c r="L69" s="957" t="str">
        <f>IF(I69=0,"",I69)</f>
        <v>11</v>
      </c>
      <c r="M69" s="957" t="str">
        <f>IF(J69=0,"",J69)</f>
        <v>Потери воды в сетях</v>
      </c>
      <c r="N69" s="957" t="str">
        <f>IF(K69=0,"",K69)</f>
        <v/>
      </c>
      <c r="O69" s="1070"/>
      <c r="P69" s="1070" t="s">
        <v>146</v>
      </c>
      <c r="Q69" s="1070"/>
      <c r="R69" s="1070"/>
      <c r="S69" s="1070"/>
      <c r="T69" s="956"/>
      <c r="U69" s="956" t="s">
        <v>2305</v>
      </c>
      <c r="V69" s="956"/>
      <c r="W69" s="956"/>
      <c r="X69" s="956"/>
      <c r="Y69" s="1113"/>
      <c r="Z69" s="959"/>
      <c r="AA69" s="962"/>
      <c r="AB69" s="959"/>
      <c r="AC69" s="959"/>
      <c r="AD69" s="959"/>
    </row>
    <row customHeight="1" ht="27">
      <c r="A70" s="958"/>
      <c r="B70" s="1012">
        <v>53</v>
      </c>
      <c r="C70" s="956"/>
      <c r="D70" s="1080"/>
      <c r="E70" s="956" t="s">
        <v>2289</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93</v>
      </c>
      <c r="R70" s="1070"/>
      <c r="S70" s="1070"/>
      <c r="T70" s="956"/>
      <c r="U70" s="956"/>
      <c r="V70" s="956" t="s">
        <v>2306</v>
      </c>
      <c r="W70" s="956"/>
      <c r="X70" s="956"/>
      <c r="Y70" s="1113"/>
      <c r="Z70" s="959"/>
      <c r="AA70" s="962"/>
      <c r="AB70" s="959"/>
      <c r="AC70" s="959"/>
      <c r="AD70" s="959"/>
    </row>
    <row customHeight="1" ht="36">
      <c r="A71" s="958"/>
      <c r="B71" s="1012">
        <v>54</v>
      </c>
      <c r="C71" s="956"/>
      <c r="D71" s="1080"/>
      <c r="E71" s="956" t="s">
        <v>2291</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131</v>
      </c>
      <c r="R71" s="1070"/>
      <c r="S71" s="1070"/>
      <c r="T71" s="956"/>
      <c r="U71" s="956"/>
      <c r="V71" s="956" t="s">
        <v>2307</v>
      </c>
      <c r="W71" s="956"/>
      <c r="X71" s="956"/>
      <c r="Y71" s="1113"/>
      <c r="Z71" s="959"/>
      <c r="AA71" s="962"/>
      <c r="AB71" s="959"/>
      <c r="AC71" s="959"/>
      <c r="AD71" s="959"/>
    </row>
    <row customHeight="1" ht="27">
      <c r="A72" s="958"/>
      <c r="B72" s="1012">
        <v>55</v>
      </c>
      <c r="C72" s="956"/>
      <c r="D72" s="1080"/>
      <c r="E72" s="956" t="s">
        <v>2293</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136</v>
      </c>
      <c r="R72" s="1070"/>
      <c r="S72" s="1070"/>
      <c r="T72" s="956"/>
      <c r="U72" s="956"/>
      <c r="V72" s="956" t="s">
        <v>2308</v>
      </c>
      <c r="W72" s="956"/>
      <c r="X72" s="956"/>
      <c r="Y72" s="1113"/>
      <c r="Z72" s="959"/>
      <c r="AA72" s="962"/>
      <c r="AB72" s="959"/>
      <c r="AC72" s="959"/>
      <c r="AD72" s="959"/>
    </row>
    <row customHeight="1" ht="36">
      <c r="A73" s="958"/>
      <c r="B73" s="1012">
        <v>56</v>
      </c>
      <c r="C73" s="956"/>
      <c r="D73" s="1080"/>
      <c r="E73" s="956" t="s">
        <v>2295</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141</v>
      </c>
      <c r="R73" s="1070"/>
      <c r="S73" s="1070"/>
      <c r="T73" s="956"/>
      <c r="U73" s="956"/>
      <c r="V73" s="956" t="s">
        <v>2309</v>
      </c>
      <c r="W73" s="956"/>
      <c r="X73" s="956"/>
      <c r="Y73" s="1113"/>
      <c r="Z73" s="959"/>
      <c r="AA73" s="962"/>
      <c r="AB73" s="959"/>
      <c r="AC73" s="959"/>
      <c r="AD73" s="959"/>
    </row>
    <row customHeight="1" ht="18">
      <c r="A74" s="958"/>
      <c r="B74" s="1012">
        <v>57</v>
      </c>
      <c r="C74" s="956"/>
      <c r="D74" s="1080"/>
      <c r="E74" s="956" t="s">
        <v>2304</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146</v>
      </c>
      <c r="R74" s="1070"/>
      <c r="S74" s="1070"/>
      <c r="T74" s="956"/>
      <c r="U74" s="956"/>
      <c r="V74" s="956" t="s">
        <v>2310</v>
      </c>
      <c r="W74" s="956"/>
      <c r="X74" s="956"/>
      <c r="Y74" s="1113"/>
      <c r="Z74" s="959"/>
      <c r="AA74" s="962"/>
      <c r="AB74" s="959"/>
      <c r="AC74" s="959"/>
      <c r="AD74" s="959"/>
    </row>
    <row customHeight="1" ht="18">
      <c r="A75" s="958"/>
      <c r="B75" s="1012">
        <v>58</v>
      </c>
      <c r="C75" s="956"/>
      <c r="D75" s="1080"/>
      <c r="E75" s="956"/>
      <c r="F75" s="956" t="s">
        <v>2289</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93</v>
      </c>
      <c r="S75" s="1070"/>
      <c r="T75" s="956"/>
      <c r="U75" s="956"/>
      <c r="V75" s="956"/>
      <c r="W75" s="956" t="s">
        <v>2311</v>
      </c>
      <c r="X75" s="956"/>
      <c r="Y75" s="1113"/>
      <c r="Z75" s="959"/>
      <c r="AA75" s="962"/>
      <c r="AB75" s="959"/>
      <c r="AC75" s="959"/>
      <c r="AD75" s="959"/>
    </row>
    <row customHeight="1" ht="36">
      <c r="A76" s="958"/>
      <c r="B76" s="1012">
        <v>59</v>
      </c>
      <c r="C76" s="956"/>
      <c r="D76" s="1080"/>
      <c r="E76" s="956"/>
      <c r="F76" s="956" t="s">
        <v>2291</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131</v>
      </c>
      <c r="S76" s="1070"/>
      <c r="T76" s="956"/>
      <c r="U76" s="956"/>
      <c r="V76" s="956"/>
      <c r="W76" s="956" t="s">
        <v>2312</v>
      </c>
      <c r="X76" s="956"/>
      <c r="Y76" s="1113"/>
      <c r="Z76" s="959"/>
      <c r="AA76" s="962"/>
      <c r="AB76" s="959"/>
      <c r="AC76" s="959"/>
      <c r="AD76" s="959"/>
    </row>
    <row customHeight="1" ht="18">
      <c r="A77" s="958"/>
      <c r="B77" s="1012">
        <v>60</v>
      </c>
      <c r="C77" s="956"/>
      <c r="D77" s="1080"/>
      <c r="E77" s="956"/>
      <c r="F77" s="956" t="s">
        <v>2293</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136</v>
      </c>
      <c r="S77" s="1070"/>
      <c r="T77" s="956"/>
      <c r="U77" s="956"/>
      <c r="V77" s="956"/>
      <c r="W77" s="956" t="s">
        <v>2313</v>
      </c>
      <c r="X77" s="956"/>
      <c r="Y77" s="1113"/>
      <c r="Z77" s="959"/>
      <c r="AA77" s="962"/>
      <c r="AB77" s="959"/>
      <c r="AC77" s="959"/>
      <c r="AD77" s="959"/>
    </row>
    <row customHeight="1" ht="72">
      <c r="A78" s="958"/>
      <c r="B78" s="1012">
        <v>61</v>
      </c>
      <c r="C78" s="956" t="s">
        <v>2289</v>
      </c>
      <c r="D78" s="1080"/>
      <c r="E78" s="956"/>
      <c r="F78" s="956"/>
      <c r="G78" s="956"/>
      <c r="H78" s="1004"/>
      <c r="I78" s="1118">
        <f>INDEX(TEMPLATE_NUMBER_POINT_FHD,B78,MATCH(TEMPLATE_SPHERE,TEMPLATE_SPHERE_LIST_FOR_NOTE,0))</f>
        <v>0</v>
      </c>
      <c r="J78" s="1118">
        <f>INDEX(TEMPLATE_DATA_POINT_FHD,B78,MATCH(TEMPLATE_SPHERE,TEMPLATE_SPHERE_LIST_FOR_NOTE,0))</f>
        <v>0</v>
      </c>
      <c r="K78" s="1118">
        <f>INDEX(TEMPLATE_NOTE_POINT_FHD,B78,MATCH(TEMPLATE_SPHERE,TEMPLATE_SPHERE_LIST_FOR_NOTE,0))</f>
        <v>0</v>
      </c>
      <c r="L78" s="957" t="str">
        <f>IF(I78=0,"",I78)</f>
        <v/>
      </c>
      <c r="M78" s="957" t="str">
        <f>IF(J78=0,"",J78)</f>
        <v/>
      </c>
      <c r="N78" s="957" t="str">
        <f>IF(K78=0,"",K78)</f>
        <v/>
      </c>
      <c r="O78" s="1070" t="s">
        <v>93</v>
      </c>
      <c r="P78" s="1070"/>
      <c r="Q78" s="1070"/>
      <c r="R78" s="1070"/>
      <c r="S78" s="1070"/>
      <c r="T78" s="956" t="s">
        <v>763</v>
      </c>
      <c r="U78" s="956"/>
      <c r="V78" s="956"/>
      <c r="W78" s="956"/>
      <c r="X78" s="956"/>
      <c r="Y78" s="1113"/>
      <c r="Z78" s="959" t="s">
        <v>2314</v>
      </c>
      <c r="AA78" s="962"/>
      <c r="AB78" s="959"/>
      <c r="AC78" s="959"/>
      <c r="AD78" s="959"/>
    </row>
    <row customHeight="1" ht="36">
      <c r="A79" s="958"/>
      <c r="B79" s="1012">
        <v>62</v>
      </c>
      <c r="C79" s="956" t="s">
        <v>2291</v>
      </c>
      <c r="D79" s="1080"/>
      <c r="E79" s="956"/>
      <c r="F79" s="956"/>
      <c r="G79" s="956"/>
      <c r="H79" s="1004"/>
      <c r="I79" s="1118">
        <f>INDEX(TEMPLATE_NUMBER_POINT_FHD,B79,MATCH(TEMPLATE_SPHERE,TEMPLATE_SPHERE_LIST_FOR_NOTE,0))</f>
        <v>0</v>
      </c>
      <c r="J79" s="1118">
        <f>INDEX(TEMPLATE_DATA_POINT_FHD,B79,MATCH(TEMPLATE_SPHERE,TEMPLATE_SPHERE_LIST_FOR_NOTE,0))</f>
        <v>0</v>
      </c>
      <c r="K79" s="1118">
        <f>INDEX(TEMPLATE_NOTE_POINT_FHD,B79,MATCH(TEMPLATE_SPHERE,TEMPLATE_SPHERE_LIST_FOR_NOTE,0))</f>
        <v>0</v>
      </c>
      <c r="L79" s="957" t="str">
        <f>IF(I79=0,"",I79)</f>
        <v/>
      </c>
      <c r="M79" s="957" t="str">
        <f>IF(J79=0,"",J79)</f>
        <v/>
      </c>
      <c r="N79" s="957" t="str">
        <f>IF(K79=0,"",K79)</f>
        <v/>
      </c>
      <c r="O79" s="1070" t="s">
        <v>131</v>
      </c>
      <c r="P79" s="1070"/>
      <c r="Q79" s="1070"/>
      <c r="R79" s="1070"/>
      <c r="S79" s="1070"/>
      <c r="T79" s="956" t="s">
        <v>2315</v>
      </c>
      <c r="U79" s="956"/>
      <c r="V79" s="956"/>
      <c r="W79" s="956"/>
      <c r="X79" s="956"/>
      <c r="Y79" s="1113"/>
      <c r="Z79" s="959" t="s">
        <v>2316</v>
      </c>
      <c r="AA79" s="962"/>
      <c r="AB79" s="959"/>
      <c r="AC79" s="959"/>
      <c r="AD79" s="959"/>
    </row>
    <row customHeight="1" ht="45">
      <c r="A80" s="958"/>
      <c r="B80" s="1012">
        <v>63</v>
      </c>
      <c r="C80" s="956" t="s">
        <v>2293</v>
      </c>
      <c r="D80" s="1080"/>
      <c r="E80" s="956"/>
      <c r="F80" s="956"/>
      <c r="G80" s="956"/>
      <c r="H80" s="1004"/>
      <c r="I80" s="1118">
        <f>INDEX(TEMPLATE_NUMBER_POINT_FHD,B80,MATCH(TEMPLATE_SPHERE,TEMPLATE_SPHERE_LIST_FOR_NOTE,0))</f>
        <v>0</v>
      </c>
      <c r="J80" s="1118">
        <f>INDEX(TEMPLATE_DATA_POINT_FHD,B80,MATCH(TEMPLATE_SPHERE,TEMPLATE_SPHERE_LIST_FOR_NOTE,0))</f>
        <v>0</v>
      </c>
      <c r="K80" s="1118">
        <f>INDEX(TEMPLATE_NOTE_POINT_FHD,B80,MATCH(TEMPLATE_SPHERE,TEMPLATE_SPHERE_LIST_FOR_NOTE,0))</f>
        <v>0</v>
      </c>
      <c r="L80" s="957" t="str">
        <f>IF(I80=0,"",I80)</f>
        <v/>
      </c>
      <c r="M80" s="957" t="str">
        <f>IF(J80=0,"",J80)</f>
        <v/>
      </c>
      <c r="N80" s="957" t="str">
        <f>IF(K80=0,"",K80)</f>
        <v/>
      </c>
      <c r="O80" s="1070" t="s">
        <v>136</v>
      </c>
      <c r="P80" s="1070"/>
      <c r="Q80" s="1070"/>
      <c r="R80" s="1070"/>
      <c r="S80" s="1070"/>
      <c r="T80" s="956" t="s">
        <v>2317</v>
      </c>
      <c r="U80" s="956"/>
      <c r="V80" s="956"/>
      <c r="W80" s="956"/>
      <c r="X80" s="956"/>
      <c r="Y80" s="1113"/>
      <c r="Z80" s="959" t="s">
        <v>2318</v>
      </c>
      <c r="AA80" s="962"/>
      <c r="AB80" s="959"/>
      <c r="AC80" s="959"/>
      <c r="AD80" s="959"/>
    </row>
    <row customHeight="1" ht="36">
      <c r="A81" s="958"/>
      <c r="B81" s="1012">
        <v>64</v>
      </c>
      <c r="C81" s="956" t="s">
        <v>2295</v>
      </c>
      <c r="D81" s="1080"/>
      <c r="E81" s="956"/>
      <c r="F81" s="956"/>
      <c r="G81" s="956"/>
      <c r="H81" s="1004"/>
      <c r="I81" s="1118">
        <f>INDEX(TEMPLATE_NUMBER_POINT_FHD,B81,MATCH(TEMPLATE_SPHERE,TEMPLATE_SPHERE_LIST_FOR_NOTE,0))</f>
        <v>0</v>
      </c>
      <c r="J81" s="1118">
        <f>INDEX(TEMPLATE_DATA_POINT_FHD,B81,MATCH(TEMPLATE_SPHERE,TEMPLATE_SPHERE_LIST_FOR_NOTE,0))</f>
        <v>0</v>
      </c>
      <c r="K81" s="1118">
        <f>INDEX(TEMPLATE_NOTE_POINT_FHD,B81,MATCH(TEMPLATE_SPHERE,TEMPLATE_SPHERE_LIST_FOR_NOTE,0))</f>
        <v>0</v>
      </c>
      <c r="L81" s="957" t="str">
        <f>IF(I81=0,"",I81)</f>
        <v/>
      </c>
      <c r="M81" s="957" t="str">
        <f>IF(J81=0,"",J81)</f>
        <v/>
      </c>
      <c r="N81" s="957" t="str">
        <f>IF(K81=0,"",K81)</f>
        <v/>
      </c>
      <c r="O81" s="1070" t="s">
        <v>2201</v>
      </c>
      <c r="P81" s="1070"/>
      <c r="Q81" s="1070"/>
      <c r="R81" s="1070"/>
      <c r="S81" s="1070"/>
      <c r="T81" s="956" t="s">
        <v>2319</v>
      </c>
      <c r="U81" s="956"/>
      <c r="V81" s="956"/>
      <c r="W81" s="956"/>
      <c r="X81" s="956"/>
      <c r="Y81" s="1113"/>
      <c r="Z81" s="959" t="s">
        <v>2320</v>
      </c>
      <c r="AA81" s="962"/>
      <c r="AB81" s="959"/>
      <c r="AC81" s="959"/>
      <c r="AD81" s="959"/>
    </row>
    <row customHeight="1" ht="90">
      <c r="A82" s="958"/>
      <c r="B82" s="1012">
        <v>65</v>
      </c>
      <c r="C82" s="956" t="s">
        <v>2304</v>
      </c>
      <c r="D82" s="1080"/>
      <c r="E82" s="956"/>
      <c r="F82" s="956"/>
      <c r="G82" s="956"/>
      <c r="H82" s="1004"/>
      <c r="I82" s="1118">
        <f>INDEX(TEMPLATE_NUMBER_POINT_FHD,B82,MATCH(TEMPLATE_SPHERE,TEMPLATE_SPHERE_LIST_FOR_NOTE,0))</f>
        <v>0</v>
      </c>
      <c r="J82" s="1118">
        <f>INDEX(TEMPLATE_DATA_POINT_FHD,B82,MATCH(TEMPLATE_SPHERE,TEMPLATE_SPHERE_LIST_FOR_NOTE,0))</f>
        <v>0</v>
      </c>
      <c r="K82" s="1118">
        <f>INDEX(TEMPLATE_NOTE_POINT_FHD,B82,MATCH(TEMPLATE_SPHERE,TEMPLATE_SPHERE_LIST_FOR_NOTE,0))</f>
        <v>0</v>
      </c>
      <c r="L82" s="957" t="str">
        <f>IF(I82=0,"",I82)</f>
        <v/>
      </c>
      <c r="M82" s="957" t="str">
        <f>IF(J82=0,"",J82)</f>
        <v/>
      </c>
      <c r="N82" s="957" t="str">
        <f>IF(K82=0,"",K82)</f>
        <v/>
      </c>
      <c r="O82" s="1070" t="s">
        <v>141</v>
      </c>
      <c r="P82" s="1070"/>
      <c r="Q82" s="1070"/>
      <c r="R82" s="1070"/>
      <c r="S82" s="1070"/>
      <c r="T82" s="956" t="s">
        <v>2321</v>
      </c>
      <c r="U82" s="956"/>
      <c r="V82" s="956"/>
      <c r="W82" s="956"/>
      <c r="X82" s="956"/>
      <c r="Y82" s="1113"/>
      <c r="Z82" s="959" t="s">
        <v>2322</v>
      </c>
      <c r="AA82" s="962"/>
      <c r="AB82" s="959"/>
      <c r="AC82" s="959"/>
      <c r="AD82" s="959"/>
    </row>
    <row customHeight="1" ht="9">
      <c r="A83" s="958"/>
      <c r="B83" s="1012">
        <v>66</v>
      </c>
      <c r="C83" s="956"/>
      <c r="D83" s="1080"/>
      <c r="E83" s="956"/>
      <c r="F83" s="956"/>
      <c r="G83" s="956"/>
      <c r="H83" s="1004"/>
      <c r="I83" s="1118">
        <f>INDEX(TEMPLATE_NUMBER_POINT_FHD,B83,MATCH(TEMPLATE_SPHERE,TEMPLATE_SPHERE_LIST_FOR_NOTE,0))</f>
        <v>0</v>
      </c>
      <c r="J83" s="1118">
        <f>INDEX(TEMPLATE_DATA_POINT_FHD,B83,MATCH(TEMPLATE_SPHERE,TEMPLATE_SPHERE_LIST_FOR_NOTE,0))</f>
        <v>0</v>
      </c>
      <c r="K83" s="1118">
        <f>INDEX(TEMPLATE_NOTE_POINT_FHD,B83,MATCH(TEMPLATE_SPHERE,TEMPLATE_SPHERE_LIST_FOR_NOTE,0))</f>
        <v>0</v>
      </c>
      <c r="L83" s="957" t="str">
        <f>IF(I83=0,"",I83)</f>
        <v/>
      </c>
      <c r="M83" s="957" t="str">
        <f>IF(J83=0,"",J83)</f>
        <v/>
      </c>
      <c r="N83" s="957" t="str">
        <f>IF(K83=0,"",K83)</f>
        <v/>
      </c>
      <c r="O83" s="1070" t="s">
        <v>2210</v>
      </c>
      <c r="P83" s="1070"/>
      <c r="Q83" s="1070"/>
      <c r="R83" s="1070"/>
      <c r="S83" s="1070"/>
      <c r="T83" s="956" t="s">
        <v>2323</v>
      </c>
      <c r="U83" s="956"/>
      <c r="V83" s="956"/>
      <c r="W83" s="956"/>
      <c r="X83" s="956"/>
      <c r="Y83" s="1113"/>
      <c r="Z83" s="959"/>
      <c r="AA83" s="962"/>
      <c r="AB83" s="959"/>
      <c r="AC83" s="959"/>
      <c r="AD83" s="959"/>
    </row>
    <row customHeight="1" ht="54">
      <c r="A84" s="958"/>
      <c r="B84" s="1012">
        <v>67</v>
      </c>
      <c r="C84" s="956"/>
      <c r="D84" s="1080"/>
      <c r="E84" s="956"/>
      <c r="F84" s="956"/>
      <c r="G84" s="956"/>
      <c r="H84" s="1004"/>
      <c r="I84" s="1118">
        <f>INDEX(TEMPLATE_NUMBER_POINT_FHD,B84,MATCH(TEMPLATE_SPHERE,TEMPLATE_SPHERE_LIST_FOR_NOTE,0))</f>
        <v>0</v>
      </c>
      <c r="J84" s="1118">
        <f>INDEX(TEMPLATE_DATA_POINT_FHD,B84,MATCH(TEMPLATE_SPHERE,TEMPLATE_SPHERE_LIST_FOR_NOTE,0))</f>
        <v>0</v>
      </c>
      <c r="K84" s="1118">
        <f>INDEX(TEMPLATE_NOTE_POINT_FHD,B84,MATCH(TEMPLATE_SPHERE,TEMPLATE_SPHERE_LIST_FOR_NOTE,0))</f>
        <v>0</v>
      </c>
      <c r="L84" s="957" t="str">
        <f>IF(I84=0,"",I84)</f>
        <v/>
      </c>
      <c r="M84" s="957" t="str">
        <f>IF(J84=0,"",J84)</f>
        <v/>
      </c>
      <c r="N84" s="957" t="str">
        <f>IF(K84=0,"",K84)</f>
        <v/>
      </c>
      <c r="O84" s="1070" t="s">
        <v>2324</v>
      </c>
      <c r="P84" s="1070"/>
      <c r="Q84" s="1070"/>
      <c r="R84" s="1070"/>
      <c r="S84" s="1070"/>
      <c r="T84" s="956" t="s">
        <v>2325</v>
      </c>
      <c r="U84" s="956"/>
      <c r="V84" s="956"/>
      <c r="W84" s="956"/>
      <c r="X84" s="956"/>
      <c r="Y84" s="1113"/>
      <c r="Z84" s="959"/>
      <c r="AA84" s="962"/>
      <c r="AB84" s="959"/>
      <c r="AC84" s="959"/>
      <c r="AD84" s="959"/>
    </row>
    <row customHeight="1" ht="9">
      <c r="A85" s="958"/>
      <c r="B85" s="1012">
        <v>68</v>
      </c>
      <c r="C85" s="956"/>
      <c r="D85" s="1080"/>
      <c r="E85" s="956"/>
      <c r="F85" s="956"/>
      <c r="G85" s="956"/>
      <c r="H85" s="1004"/>
      <c r="I85" s="1118">
        <f>INDEX(TEMPLATE_NUMBER_POINT_FHD,B85,MATCH(TEMPLATE_SPHERE,TEMPLATE_SPHERE_LIST_FOR_NOTE,0))</f>
        <v>0</v>
      </c>
      <c r="J85" s="1118">
        <f>INDEX(TEMPLATE_DATA_POINT_FHD,B85,MATCH(TEMPLATE_SPHERE,TEMPLATE_SPHERE_LIST_FOR_NOTE,0))</f>
        <v>0</v>
      </c>
      <c r="K85" s="1118">
        <f>INDEX(TEMPLATE_NOTE_POINT_FHD,B85,MATCH(TEMPLATE_SPHERE,TEMPLATE_SPHERE_LIST_FOR_NOTE,0))</f>
        <v>0</v>
      </c>
      <c r="L85" s="957" t="str">
        <f>IF(I85=0,"",I85)</f>
        <v/>
      </c>
      <c r="M85" s="957" t="str">
        <f>IF(J85=0,"",J85)</f>
        <v/>
      </c>
      <c r="N85" s="957" t="str">
        <f>IF(K85=0,"",K85)</f>
        <v/>
      </c>
      <c r="O85" s="1070" t="s">
        <v>2214</v>
      </c>
      <c r="P85" s="1070"/>
      <c r="Q85" s="1070"/>
      <c r="R85" s="1070"/>
      <c r="S85" s="1070"/>
      <c r="T85" s="956" t="s">
        <v>2326</v>
      </c>
      <c r="U85" s="956"/>
      <c r="V85" s="956"/>
      <c r="W85" s="956"/>
      <c r="X85" s="956"/>
      <c r="Y85" s="1113"/>
      <c r="Z85" s="959"/>
      <c r="AA85" s="962"/>
      <c r="AB85" s="959"/>
      <c r="AC85" s="959"/>
      <c r="AD85" s="959"/>
    </row>
    <row customHeight="1" ht="27">
      <c r="A86" s="958"/>
      <c r="B86" s="1012">
        <v>69</v>
      </c>
      <c r="C86" s="956"/>
      <c r="D86" s="1080"/>
      <c r="E86" s="956"/>
      <c r="F86" s="956"/>
      <c r="G86" s="956"/>
      <c r="H86" s="1004"/>
      <c r="I86" s="1118">
        <f>INDEX(TEMPLATE_NUMBER_POINT_FHD,B86,MATCH(TEMPLATE_SPHERE,TEMPLATE_SPHERE_LIST_FOR_NOTE,0))</f>
        <v>0</v>
      </c>
      <c r="J86" s="1118">
        <f>INDEX(TEMPLATE_DATA_POINT_FHD,B86,MATCH(TEMPLATE_SPHERE,TEMPLATE_SPHERE_LIST_FOR_NOTE,0))</f>
        <v>0</v>
      </c>
      <c r="K86" s="1118">
        <f>INDEX(TEMPLATE_NOTE_POINT_FHD,B86,MATCH(TEMPLATE_SPHERE,TEMPLATE_SPHERE_LIST_FOR_NOTE,0))</f>
        <v>0</v>
      </c>
      <c r="L86" s="957" t="str">
        <f>IF(I86=0,"",I86)</f>
        <v/>
      </c>
      <c r="M86" s="957" t="str">
        <f>IF(J86=0,"",J86)</f>
        <v/>
      </c>
      <c r="N86" s="957" t="str">
        <f>IF(K86=0,"",K86)</f>
        <v/>
      </c>
      <c r="O86" s="1070" t="s">
        <v>2327</v>
      </c>
      <c r="P86" s="1070"/>
      <c r="Q86" s="1070"/>
      <c r="R86" s="1070"/>
      <c r="S86" s="1070"/>
      <c r="T86" s="956" t="s">
        <v>2328</v>
      </c>
      <c r="U86" s="956"/>
      <c r="V86" s="956"/>
      <c r="W86" s="956"/>
      <c r="X86" s="956"/>
      <c r="Y86" s="1113"/>
      <c r="Z86" s="959"/>
      <c r="AA86" s="962"/>
      <c r="AB86" s="959"/>
      <c r="AC86" s="959"/>
      <c r="AD86" s="959"/>
    </row>
    <row customHeight="1" ht="36">
      <c r="A87" s="958"/>
      <c r="B87" s="1012">
        <v>70</v>
      </c>
      <c r="C87" s="956" t="s">
        <v>2329</v>
      </c>
      <c r="D87" s="1080"/>
      <c r="E87" s="956"/>
      <c r="F87" s="956"/>
      <c r="G87" s="956"/>
      <c r="H87" s="1004"/>
      <c r="I87" s="1118">
        <f>INDEX(TEMPLATE_NUMBER_POINT_FHD,B87,MATCH(TEMPLATE_SPHERE,TEMPLATE_SPHERE_LIST_FOR_NOTE,0))</f>
        <v>0</v>
      </c>
      <c r="J87" s="1118">
        <f>INDEX(TEMPLATE_DATA_POINT_FHD,B87,MATCH(TEMPLATE_SPHERE,TEMPLATE_SPHERE_LIST_FOR_NOTE,0))</f>
        <v>0</v>
      </c>
      <c r="K87" s="1118">
        <f>INDEX(TEMPLATE_NOTE_POINT_FHD,B87,MATCH(TEMPLATE_SPHERE,TEMPLATE_SPHERE_LIST_FOR_NOTE,0))</f>
        <v>0</v>
      </c>
      <c r="L87" s="957" t="str">
        <f>IF(I87=0,"",I87)</f>
        <v/>
      </c>
      <c r="M87" s="957" t="str">
        <f>IF(J87=0,"",J87)</f>
        <v/>
      </c>
      <c r="N87" s="957" t="str">
        <f>IF(K87=0,"",K87)</f>
        <v/>
      </c>
      <c r="O87" s="1070" t="s">
        <v>146</v>
      </c>
      <c r="P87" s="1070"/>
      <c r="Q87" s="1070"/>
      <c r="R87" s="1070"/>
      <c r="S87" s="1070"/>
      <c r="T87" s="956" t="s">
        <v>2330</v>
      </c>
      <c r="U87" s="956"/>
      <c r="V87" s="956"/>
      <c r="W87" s="956"/>
      <c r="X87" s="956"/>
      <c r="Y87" s="1113"/>
      <c r="Z87" s="959"/>
      <c r="AA87" s="962"/>
      <c r="AB87" s="959"/>
      <c r="AC87" s="959"/>
      <c r="AD87" s="959"/>
    </row>
    <row customHeight="1" ht="18">
      <c r="A88" s="958"/>
      <c r="B88" s="1012">
        <v>71</v>
      </c>
      <c r="C88" s="956" t="s">
        <v>2331</v>
      </c>
      <c r="D88" s="1080"/>
      <c r="E88" s="956"/>
      <c r="F88" s="956"/>
      <c r="G88" s="956"/>
      <c r="H88" s="1004"/>
      <c r="I88" s="1118">
        <f>INDEX(TEMPLATE_NUMBER_POINT_FHD,B88,MATCH(TEMPLATE_SPHERE,TEMPLATE_SPHERE_LIST_FOR_NOTE,0))</f>
        <v>0</v>
      </c>
      <c r="J88" s="1118">
        <f>INDEX(TEMPLATE_DATA_POINT_FHD,B88,MATCH(TEMPLATE_SPHERE,TEMPLATE_SPHERE_LIST_FOR_NOTE,0))</f>
        <v>0</v>
      </c>
      <c r="K88" s="1118">
        <f>INDEX(TEMPLATE_NOTE_POINT_FHD,B88,MATCH(TEMPLATE_SPHERE,TEMPLATE_SPHERE_LIST_FOR_NOTE,0))</f>
        <v>0</v>
      </c>
      <c r="L88" s="957" t="str">
        <f>IF(I88=0,"",I88)</f>
        <v/>
      </c>
      <c r="M88" s="957" t="str">
        <f>IF(J88=0,"",J88)</f>
        <v/>
      </c>
      <c r="N88" s="957" t="str">
        <f>IF(K88=0,"",K88)</f>
        <v/>
      </c>
      <c r="O88" s="1070" t="s">
        <v>151</v>
      </c>
      <c r="P88" s="1070"/>
      <c r="Q88" s="1070"/>
      <c r="R88" s="1070"/>
      <c r="S88" s="1070"/>
      <c r="T88" s="956" t="s">
        <v>795</v>
      </c>
      <c r="U88" s="956"/>
      <c r="V88" s="956"/>
      <c r="W88" s="956"/>
      <c r="X88" s="956"/>
      <c r="Y88" s="1113"/>
      <c r="Z88" s="959"/>
      <c r="AA88" s="962"/>
      <c r="AB88" s="959"/>
      <c r="AC88" s="959"/>
      <c r="AD88" s="959"/>
    </row>
    <row customHeight="1" ht="18">
      <c r="A89" s="958"/>
      <c r="B89" s="1012">
        <v>72</v>
      </c>
      <c r="C89" s="956" t="s">
        <v>2332</v>
      </c>
      <c r="D89" s="1080" t="s">
        <v>2329</v>
      </c>
      <c r="E89" s="956" t="s">
        <v>2329</v>
      </c>
      <c r="F89" s="956" t="s">
        <v>2295</v>
      </c>
      <c r="G89" s="956"/>
      <c r="H89" s="1004"/>
      <c r="I89" s="1118" t="str">
        <f>INDEX(TEMPLATE_NUMBER_POINT_FHD,B89,MATCH(TEMPLATE_SPHERE,TEMPLATE_SPHERE_LIST_FOR_NOTE,0))</f>
        <v>12</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12</v>
      </c>
      <c r="M89" s="957" t="str">
        <f>IF(J89=0,"",J89)</f>
        <v>Среднесписочная численность основного производственного персонала</v>
      </c>
      <c r="N89" s="957" t="str">
        <f>IF(K89=0,"",K89)</f>
        <v/>
      </c>
      <c r="O89" s="1070" t="s">
        <v>156</v>
      </c>
      <c r="P89" s="1070" t="s">
        <v>151</v>
      </c>
      <c r="Q89" s="1070" t="s">
        <v>151</v>
      </c>
      <c r="R89" s="1070" t="s">
        <v>141</v>
      </c>
      <c r="S89" s="1070"/>
      <c r="T89" s="956" t="s">
        <v>803</v>
      </c>
      <c r="U89" s="956" t="s">
        <v>803</v>
      </c>
      <c r="V89" s="956" t="s">
        <v>803</v>
      </c>
      <c r="W89" s="956" t="s">
        <v>803</v>
      </c>
      <c r="X89" s="956"/>
      <c r="Y89" s="1113"/>
      <c r="Z89" s="959"/>
      <c r="AA89" s="962"/>
      <c r="AB89" s="959"/>
      <c r="AC89" s="959"/>
      <c r="AD89" s="959"/>
    </row>
    <row customHeight="1" ht="27">
      <c r="A90" s="958"/>
      <c r="B90" s="1012">
        <v>73</v>
      </c>
      <c r="C90" s="956" t="s">
        <v>2333</v>
      </c>
      <c r="D90" s="1080"/>
      <c r="E90" s="956"/>
      <c r="F90" s="956"/>
      <c r="G90" s="956"/>
      <c r="H90" s="1004"/>
      <c r="I90" s="1118">
        <f>INDEX(TEMPLATE_NUMBER_POINT_FHD,B90,MATCH(TEMPLATE_SPHERE,TEMPLATE_SPHERE_LIST_FOR_NOTE,0))</f>
        <v>0</v>
      </c>
      <c r="J90" s="1118">
        <f>INDEX(TEMPLATE_DATA_POINT_FHD,B90,MATCH(TEMPLATE_SPHERE,TEMPLATE_SPHERE_LIST_FOR_NOTE,0))</f>
        <v>0</v>
      </c>
      <c r="K90" s="1118">
        <f>INDEX(TEMPLATE_NOTE_POINT_FHD,B90,MATCH(TEMPLATE_SPHERE,TEMPLATE_SPHERE_LIST_FOR_NOTE,0))</f>
        <v>0</v>
      </c>
      <c r="L90" s="957" t="str">
        <f>IF(I90=0,"",I90)</f>
        <v/>
      </c>
      <c r="M90" s="957" t="str">
        <f>IF(J90=0,"",J90)</f>
        <v/>
      </c>
      <c r="N90" s="957" t="str">
        <f>IF(K90=0,"",K90)</f>
        <v/>
      </c>
      <c r="O90" s="1070" t="s">
        <v>161</v>
      </c>
      <c r="P90" s="1070"/>
      <c r="Q90" s="1070"/>
      <c r="R90" s="1070"/>
      <c r="S90" s="1070"/>
      <c r="T90" s="956" t="s">
        <v>805</v>
      </c>
      <c r="U90" s="956"/>
      <c r="V90" s="956"/>
      <c r="W90" s="956"/>
      <c r="X90" s="956"/>
      <c r="Y90" s="1113"/>
      <c r="Z90" s="959"/>
      <c r="AA90" s="962"/>
      <c r="AB90" s="959"/>
      <c r="AC90" s="959"/>
      <c r="AD90" s="959"/>
    </row>
    <row customHeight="1" ht="18">
      <c r="A91" s="958"/>
      <c r="B91" s="1012">
        <v>74</v>
      </c>
      <c r="C91" s="956"/>
      <c r="D91" s="1080" t="s">
        <v>2331</v>
      </c>
      <c r="E91" s="956" t="s">
        <v>2331</v>
      </c>
      <c r="F91" s="956"/>
      <c r="G91" s="956"/>
      <c r="H91" s="1004"/>
      <c r="I91" s="1118" t="str">
        <f>INDEX(TEMPLATE_NUMBER_POINT_FHD,B91,MATCH(TEMPLATE_SPHERE,TEMPLATE_SPHERE_LIST_FOR_NOTE,0))</f>
        <v>13</v>
      </c>
      <c r="J91" s="1118" t="str">
        <f>INDEX(TEMPLATE_DATA_POINT_FHD,B91,MATCH(TEMPLATE_SPHERE,TEMPLATE_SPHERE_LIST_FOR_NOTE,0))</f>
        <v>Удельный расход электрической энергии на подачу воды в сеть</v>
      </c>
      <c r="K91" s="1118">
        <f>INDEX(TEMPLATE_NOTE_POINT_FHD,B91,MATCH(TEMPLATE_SPHERE,TEMPLATE_SPHERE_LIST_FOR_NOTE,0))</f>
        <v>0</v>
      </c>
      <c r="L91" s="957" t="str">
        <f>IF(I91=0,"",I91)</f>
        <v>13</v>
      </c>
      <c r="M91" s="957" t="str">
        <f>IF(J91=0,"",J91)</f>
        <v>Удельный расход электрической энергии на подачу воды в сеть</v>
      </c>
      <c r="N91" s="957" t="str">
        <f>IF(K91=0,"",K91)</f>
        <v/>
      </c>
      <c r="O91" s="1070"/>
      <c r="P91" s="1070" t="s">
        <v>156</v>
      </c>
      <c r="Q91" s="1070" t="s">
        <v>156</v>
      </c>
      <c r="R91" s="1070"/>
      <c r="S91" s="1070"/>
      <c r="T91" s="956"/>
      <c r="U91" s="956" t="s">
        <v>2334</v>
      </c>
      <c r="V91" s="956" t="s">
        <v>2334</v>
      </c>
      <c r="W91" s="956"/>
      <c r="X91" s="956"/>
      <c r="Y91" s="1113"/>
      <c r="Z91" s="959"/>
      <c r="AA91" s="962"/>
      <c r="AB91" s="959"/>
      <c r="AC91" s="959"/>
      <c r="AD91" s="959"/>
    </row>
    <row customHeight="1" ht="27">
      <c r="A92" s="958"/>
      <c r="B92" s="1012">
        <v>75</v>
      </c>
      <c r="C92" s="956"/>
      <c r="D92" s="1080" t="s">
        <v>2332</v>
      </c>
      <c r="E92" s="956"/>
      <c r="F92" s="956"/>
      <c r="G92" s="956"/>
      <c r="H92" s="1004"/>
      <c r="I92" s="1118" t="str">
        <f>INDEX(TEMPLATE_NUMBER_POINT_FHD,B92,MATCH(TEMPLATE_SPHERE,TEMPLATE_SPHERE_LIST_FOR_NOTE,0))</f>
        <v>14</v>
      </c>
      <c r="J92" s="1118" t="str">
        <f>INDEX(TEMPLATE_DATA_POINT_FHD,B92,MATCH(TEMPLATE_SPHERE,TEMPLATE_SPHERE_LIST_FOR_NOTE,0))</f>
        <v>Расход воды на собственные нужды, в том числе:</v>
      </c>
      <c r="K92" s="1118" t="str">
        <f>INDEX(TEMPLATE_NOTE_POINT_FHD,B92,MATCH(TEMPLATE_SPHERE,TEMPLATE_SPHERE_LIST_FOR_NOTE,0))</f>
        <v>Указывается доля общего расхода воды на собственные нужны от объема отпуска воды потребителям.</v>
      </c>
      <c r="L92" s="957" t="str">
        <f>IF(I92=0,"",I92)</f>
        <v>14</v>
      </c>
      <c r="M92" s="957" t="str">
        <f>IF(J92=0,"",J92)</f>
        <v>Расход воды на собственные нужды, в том числе:</v>
      </c>
      <c r="N92" s="957" t="str">
        <f>IF(K92=0,"",K92)</f>
        <v>Указывается доля общего расхода воды на собственные нужны от объема отпуска воды потребителям.</v>
      </c>
      <c r="O92" s="1070"/>
      <c r="P92" s="1070" t="s">
        <v>161</v>
      </c>
      <c r="Q92" s="1070"/>
      <c r="R92" s="1070"/>
      <c r="S92" s="1070"/>
      <c r="T92" s="956"/>
      <c r="U92" s="956" t="s">
        <v>2335</v>
      </c>
      <c r="V92" s="956"/>
      <c r="W92" s="956"/>
      <c r="X92" s="956"/>
      <c r="Y92" s="1113"/>
      <c r="Z92" s="959"/>
      <c r="AA92" s="962" t="s">
        <v>2336</v>
      </c>
      <c r="AB92" s="959"/>
      <c r="AC92" s="959"/>
      <c r="AD92" s="959"/>
    </row>
    <row customHeight="1" ht="27">
      <c r="A93" s="958"/>
      <c r="B93" s="1012">
        <v>76</v>
      </c>
      <c r="C93" s="956"/>
      <c r="D93" s="1080"/>
      <c r="E93" s="956"/>
      <c r="F93" s="956"/>
      <c r="G93" s="956"/>
      <c r="H93" s="1004"/>
      <c r="I93" s="1118" t="str">
        <f>INDEX(TEMPLATE_NUMBER_POINT_FHD,B93,MATCH(TEMPLATE_SPHERE,TEMPLATE_SPHERE_LIST_FOR_NOTE,0))</f>
        <v>14.1</v>
      </c>
      <c r="J93" s="1118" t="str">
        <f>INDEX(TEMPLATE_DATA_POINT_FHD,B93,MATCH(TEMPLATE_SPHERE,TEMPLATE_SPHERE_LIST_FOR_NOTE,0))</f>
        <v>Расход воды на хозяйственно-бытовые нужды</v>
      </c>
      <c r="K93" s="111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57" t="str">
        <f>IF(I93=0,"",I93)</f>
        <v>14.1</v>
      </c>
      <c r="M93" s="957" t="str">
        <f>IF(J93=0,"",J93)</f>
        <v>Расход воды на хозяйственно-бытовые нужды</v>
      </c>
      <c r="N93" s="957" t="str">
        <f>IF(K93=0,"",K93)</f>
        <v>Указывается доля расхода воды на хозяйственно-бытовые нужны от объема отпуска воды потребителям.</v>
      </c>
      <c r="O93" s="1070"/>
      <c r="P93" s="1070" t="s">
        <v>2242</v>
      </c>
      <c r="Q93" s="1070"/>
      <c r="R93" s="1070"/>
      <c r="S93" s="1070"/>
      <c r="T93" s="956"/>
      <c r="U93" s="956" t="s">
        <v>2337</v>
      </c>
      <c r="V93" s="956"/>
      <c r="W93" s="956"/>
      <c r="X93" s="956"/>
      <c r="Y93" s="1113"/>
      <c r="Z93" s="959"/>
      <c r="AA93" s="962" t="s">
        <v>2338</v>
      </c>
      <c r="AB93" s="959"/>
      <c r="AC93" s="959"/>
      <c r="AD93" s="959"/>
    </row>
    <row customHeight="1" ht="45">
      <c r="A94" s="958"/>
      <c r="B94" s="1012">
        <v>77</v>
      </c>
      <c r="C94" s="956"/>
      <c r="D94" s="1080" t="s">
        <v>2333</v>
      </c>
      <c r="E94" s="956"/>
      <c r="F94" s="956"/>
      <c r="G94" s="956"/>
      <c r="H94" s="1004"/>
      <c r="I94" s="1118" t="str">
        <f>INDEX(TEMPLATE_NUMBER_POINT_FHD,B94,MATCH(TEMPLATE_SPHERE,TEMPLATE_SPHERE_LIST_FOR_NOTE,0))</f>
        <v>15</v>
      </c>
      <c r="J94" s="1118" t="str">
        <f>INDEX(TEMPLATE_DATA_POINT_FHD,B94,MATCH(TEMPLATE_SPHERE,TEMPLATE_SPHERE_LIST_FOR_NOTE,0))</f>
        <v>Показатель использования производственных объектов (по объему перекачки), в том числе:</v>
      </c>
      <c r="K94" s="111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57" t="str">
        <f>IF(I94=0,"",I94)</f>
        <v>15</v>
      </c>
      <c r="M94" s="957" t="str">
        <f>IF(J94=0,"",J94)</f>
        <v>Показатель использования производственных объектов (по объему перекачки), в том числе:</v>
      </c>
      <c r="N94" s="957"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70"/>
      <c r="P94" s="1070" t="s">
        <v>166</v>
      </c>
      <c r="Q94" s="1070"/>
      <c r="R94" s="1070"/>
      <c r="S94" s="1070"/>
      <c r="T94" s="956"/>
      <c r="U94" s="956" t="s">
        <v>2339</v>
      </c>
      <c r="V94" s="956"/>
      <c r="W94" s="956"/>
      <c r="X94" s="956"/>
      <c r="Y94" s="1113"/>
      <c r="Z94" s="959"/>
      <c r="AA94" s="962" t="s">
        <v>2340</v>
      </c>
      <c r="AB94" s="959"/>
      <c r="AC94" s="959"/>
      <c r="AD94" s="959"/>
    </row>
    <row customHeight="1" ht="99">
      <c r="A95" s="958"/>
      <c r="B95" s="1012">
        <v>78</v>
      </c>
      <c r="C95" s="956" t="s">
        <v>2341</v>
      </c>
      <c r="D95" s="1080"/>
      <c r="E95" s="956"/>
      <c r="F95" s="956"/>
      <c r="G95" s="956"/>
      <c r="H95" s="1004"/>
      <c r="I95" s="1118">
        <f>INDEX(TEMPLATE_NUMBER_POINT_FHD,B95,MATCH(TEMPLATE_SPHERE,TEMPLATE_SPHERE_LIST_FOR_NOTE,0))</f>
        <v>0</v>
      </c>
      <c r="J95" s="1118">
        <f>INDEX(TEMPLATE_DATA_POINT_FHD,B95,MATCH(TEMPLATE_SPHERE,TEMPLATE_SPHERE_LIST_FOR_NOTE,0))</f>
        <v>0</v>
      </c>
      <c r="K95" s="1118">
        <f>INDEX(TEMPLATE_NOTE_POINT_FHD,B95,MATCH(TEMPLATE_SPHERE,TEMPLATE_SPHERE_LIST_FOR_NOTE,0))</f>
        <v>0</v>
      </c>
      <c r="L95" s="957" t="str">
        <f>IF(I95=0,"",I95)</f>
        <v/>
      </c>
      <c r="M95" s="957" t="str">
        <f>IF(J95=0,"",J95)</f>
        <v/>
      </c>
      <c r="N95" s="957" t="str">
        <f>IF(K95=0,"",K95)</f>
        <v/>
      </c>
      <c r="O95" s="1070" t="s">
        <v>166</v>
      </c>
      <c r="P95" s="1070"/>
      <c r="Q95" s="1070"/>
      <c r="R95" s="1070"/>
      <c r="S95" s="1070"/>
      <c r="T95" s="956" t="s">
        <v>2342</v>
      </c>
      <c r="U95" s="956"/>
      <c r="V95" s="956"/>
      <c r="W95" s="956"/>
      <c r="X95" s="956"/>
      <c r="Y95" s="1113"/>
      <c r="Z95" s="959"/>
      <c r="AA95" s="962"/>
      <c r="AB95" s="959"/>
      <c r="AC95" s="959"/>
      <c r="AD95" s="959"/>
    </row>
    <row customHeight="1" ht="99">
      <c r="A96" s="958"/>
      <c r="B96" s="1012">
        <v>79</v>
      </c>
      <c r="C96" s="956" t="s">
        <v>1276</v>
      </c>
      <c r="D96" s="1080"/>
      <c r="E96" s="956"/>
      <c r="F96" s="956"/>
      <c r="G96" s="956"/>
      <c r="H96" s="1004"/>
      <c r="I96" s="1118">
        <f>INDEX(TEMPLATE_NUMBER_POINT_FHD,B96,MATCH(TEMPLATE_SPHERE,TEMPLATE_SPHERE_LIST_FOR_NOTE,0))</f>
        <v>0</v>
      </c>
      <c r="J96" s="1118">
        <f>INDEX(TEMPLATE_DATA_POINT_FHD,B96,MATCH(TEMPLATE_SPHERE,TEMPLATE_SPHERE_LIST_FOR_NOTE,0))</f>
        <v>0</v>
      </c>
      <c r="K96" s="1118">
        <f>INDEX(TEMPLATE_NOTE_POINT_FHD,B96,MATCH(TEMPLATE_SPHERE,TEMPLATE_SPHERE_LIST_FOR_NOTE,0))</f>
        <v>0</v>
      </c>
      <c r="L96" s="957" t="str">
        <f>IF(I96=0,"",I96)</f>
        <v/>
      </c>
      <c r="M96" s="957" t="str">
        <f>IF(J96=0,"",J96)</f>
        <v/>
      </c>
      <c r="N96" s="957" t="str">
        <f>IF(K96=0,"",K96)</f>
        <v/>
      </c>
      <c r="O96" s="1070" t="s">
        <v>171</v>
      </c>
      <c r="P96" s="1070"/>
      <c r="Q96" s="1070"/>
      <c r="R96" s="1070"/>
      <c r="S96" s="1070"/>
      <c r="T96" s="956" t="s">
        <v>2343</v>
      </c>
      <c r="U96" s="956"/>
      <c r="V96" s="956"/>
      <c r="W96" s="956"/>
      <c r="X96" s="956"/>
      <c r="Y96" s="1113"/>
      <c r="Z96" s="959" t="s">
        <v>2344</v>
      </c>
      <c r="AA96" s="962"/>
      <c r="AB96" s="959"/>
      <c r="AC96" s="959"/>
      <c r="AD96" s="959"/>
    </row>
    <row customHeight="1" ht="63">
      <c r="A97" s="958"/>
      <c r="B97" s="1012">
        <v>80</v>
      </c>
      <c r="C97" s="956" t="s">
        <v>2345</v>
      </c>
      <c r="D97" s="1080"/>
      <c r="E97" s="956"/>
      <c r="F97" s="956"/>
      <c r="G97" s="956"/>
      <c r="H97" s="1004"/>
      <c r="I97" s="1118">
        <f>INDEX(TEMPLATE_NUMBER_POINT_FHD,B97,MATCH(TEMPLATE_SPHERE,TEMPLATE_SPHERE_LIST_FOR_NOTE,0))</f>
        <v>0</v>
      </c>
      <c r="J97" s="1118">
        <f>INDEX(TEMPLATE_DATA_POINT_FHD,B97,MATCH(TEMPLATE_SPHERE,TEMPLATE_SPHERE_LIST_FOR_NOTE,0))</f>
        <v>0</v>
      </c>
      <c r="K97" s="1118">
        <f>INDEX(TEMPLATE_NOTE_POINT_FHD,B97,MATCH(TEMPLATE_SPHERE,TEMPLATE_SPHERE_LIST_FOR_NOTE,0))</f>
        <v>0</v>
      </c>
      <c r="L97" s="957" t="str">
        <f>IF(I97=0,"",I97)</f>
        <v/>
      </c>
      <c r="M97" s="957" t="str">
        <f>IF(J97=0,"",J97)</f>
        <v/>
      </c>
      <c r="N97" s="957" t="str">
        <f>IF(K97=0,"",K97)</f>
        <v/>
      </c>
      <c r="O97" s="1070" t="s">
        <v>176</v>
      </c>
      <c r="P97" s="1070"/>
      <c r="Q97" s="1070"/>
      <c r="R97" s="1070"/>
      <c r="S97" s="1070"/>
      <c r="T97" s="956" t="s">
        <v>2346</v>
      </c>
      <c r="U97" s="956"/>
      <c r="V97" s="956"/>
      <c r="W97" s="956"/>
      <c r="X97" s="956"/>
      <c r="Y97" s="1113"/>
      <c r="Z97" s="959" t="s">
        <v>2347</v>
      </c>
      <c r="AA97" s="962"/>
      <c r="AB97" s="959"/>
      <c r="AC97" s="959"/>
      <c r="AD97" s="959"/>
    </row>
    <row customHeight="1" ht="63">
      <c r="A98" s="958"/>
      <c r="B98" s="1012">
        <v>81</v>
      </c>
      <c r="C98" s="956" t="s">
        <v>2348</v>
      </c>
      <c r="D98" s="1080"/>
      <c r="E98" s="956"/>
      <c r="F98" s="956"/>
      <c r="G98" s="956"/>
      <c r="H98" s="1004"/>
      <c r="I98" s="1118">
        <f>INDEX(TEMPLATE_NUMBER_POINT_FHD,B98,MATCH(TEMPLATE_SPHERE,TEMPLATE_SPHERE_LIST_FOR_NOTE,0))</f>
        <v>0</v>
      </c>
      <c r="J98" s="1118">
        <f>INDEX(TEMPLATE_DATA_POINT_FHD,B98,MATCH(TEMPLATE_SPHERE,TEMPLATE_SPHERE_LIST_FOR_NOTE,0))</f>
        <v>0</v>
      </c>
      <c r="K98" s="1118">
        <f>INDEX(TEMPLATE_NOTE_POINT_FHD,B98,MATCH(TEMPLATE_SPHERE,TEMPLATE_SPHERE_LIST_FOR_NOTE,0))</f>
        <v>0</v>
      </c>
      <c r="L98" s="957" t="str">
        <f>IF(I98=0,"",I98)</f>
        <v/>
      </c>
      <c r="M98" s="957" t="str">
        <f>IF(J98=0,"",J98)</f>
        <v/>
      </c>
      <c r="N98" s="957" t="str">
        <f>IF(K98=0,"",K98)</f>
        <v/>
      </c>
      <c r="O98" s="1070" t="s">
        <v>1627</v>
      </c>
      <c r="P98" s="1070"/>
      <c r="Q98" s="1070"/>
      <c r="R98" s="1070"/>
      <c r="S98" s="1070"/>
      <c r="T98" s="956" t="s">
        <v>2349</v>
      </c>
      <c r="U98" s="956"/>
      <c r="V98" s="956"/>
      <c r="W98" s="956"/>
      <c r="X98" s="956"/>
      <c r="Y98" s="1113"/>
      <c r="Z98" s="959" t="s">
        <v>2347</v>
      </c>
      <c r="AA98" s="962"/>
      <c r="AB98" s="959"/>
      <c r="AC98" s="959"/>
      <c r="AD98" s="959"/>
    </row>
    <row customHeight="1" ht="90">
      <c r="A99" s="958"/>
      <c r="B99" s="1012">
        <v>82</v>
      </c>
      <c r="C99" s="956" t="s">
        <v>2350</v>
      </c>
      <c r="D99" s="1080"/>
      <c r="E99" s="956"/>
      <c r="F99" s="956"/>
      <c r="G99" s="956"/>
      <c r="H99" s="1004"/>
      <c r="I99" s="1118">
        <f>INDEX(TEMPLATE_NUMBER_POINT_FHD,B99,MATCH(TEMPLATE_SPHERE,TEMPLATE_SPHERE_LIST_FOR_NOTE,0))</f>
        <v>0</v>
      </c>
      <c r="J99" s="1118">
        <f>INDEX(TEMPLATE_DATA_POINT_FHD,B99,MATCH(TEMPLATE_SPHERE,TEMPLATE_SPHERE_LIST_FOR_NOTE,0))</f>
        <v>0</v>
      </c>
      <c r="K99" s="1118">
        <f>INDEX(TEMPLATE_NOTE_POINT_FHD,B99,MATCH(TEMPLATE_SPHERE,TEMPLATE_SPHERE_LIST_FOR_NOTE,0))</f>
        <v>0</v>
      </c>
      <c r="L99" s="957" t="str">
        <f>IF(I99=0,"",I99)</f>
        <v/>
      </c>
      <c r="M99" s="957" t="str">
        <f>IF(J99=0,"",J99)</f>
        <v/>
      </c>
      <c r="N99" s="957" t="str">
        <f>IF(K99=0,"",K99)</f>
        <v/>
      </c>
      <c r="O99" s="1070" t="s">
        <v>1639</v>
      </c>
      <c r="P99" s="1070"/>
      <c r="Q99" s="1070"/>
      <c r="R99" s="1070"/>
      <c r="S99" s="1070"/>
      <c r="T99" s="956" t="s">
        <v>2351</v>
      </c>
      <c r="U99" s="956"/>
      <c r="V99" s="956"/>
      <c r="W99" s="956"/>
      <c r="X99" s="956"/>
      <c r="Y99" s="1113"/>
      <c r="Z99" s="959" t="s">
        <v>760</v>
      </c>
      <c r="AA99" s="962"/>
      <c r="AB99" s="959"/>
      <c r="AC99" s="959"/>
      <c r="AD99" s="959"/>
    </row>
    <row customHeight="1" ht="27">
      <c r="A100" s="958"/>
      <c r="B100" s="1012">
        <v>83</v>
      </c>
      <c r="C100" s="956"/>
      <c r="D100" s="1080"/>
      <c r="E100" s="956"/>
      <c r="F100" s="956"/>
      <c r="G100" s="956"/>
      <c r="H100" s="1004"/>
      <c r="I100" s="1118">
        <f>INDEX(TEMPLATE_NUMBER_POINT_FHD,B100,MATCH(TEMPLATE_SPHERE,TEMPLATE_SPHERE_LIST_FOR_NOTE,0))</f>
        <v>0</v>
      </c>
      <c r="J100" s="1118">
        <f>INDEX(TEMPLATE_DATA_POINT_FHD,B100,MATCH(TEMPLATE_SPHERE,TEMPLATE_SPHERE_LIST_FOR_NOTE,0))</f>
        <v>0</v>
      </c>
      <c r="K100" s="1118">
        <f>INDEX(TEMPLATE_NOTE_POINT_FHD,B100,MATCH(TEMPLATE_SPHERE,TEMPLATE_SPHERE_LIST_FOR_NOTE,0))</f>
        <v>0</v>
      </c>
      <c r="L100" s="957" t="str">
        <f>IF(I100=0,"",I100)</f>
        <v/>
      </c>
      <c r="M100" s="957" t="str">
        <f>IF(J100=0,"",J100)</f>
        <v/>
      </c>
      <c r="N100" s="957" t="str">
        <f>IF(K100=0,"",K100)</f>
        <v/>
      </c>
      <c r="O100" s="1070" t="s">
        <v>2352</v>
      </c>
      <c r="P100" s="1070"/>
      <c r="Q100" s="1070"/>
      <c r="R100" s="1070"/>
      <c r="S100" s="1070"/>
      <c r="T100" s="956" t="s">
        <v>2353</v>
      </c>
      <c r="U100" s="956"/>
      <c r="V100" s="956"/>
      <c r="W100" s="956"/>
      <c r="X100" s="956"/>
      <c r="Y100" s="1113"/>
      <c r="Z100" s="959" t="s">
        <v>760</v>
      </c>
      <c r="AA100" s="962"/>
      <c r="AB100" s="959"/>
      <c r="AC100" s="959"/>
      <c r="AD100" s="959"/>
    </row>
    <row customHeight="1" ht="27">
      <c r="A101" s="958"/>
      <c r="B101" s="1012">
        <v>84</v>
      </c>
      <c r="C101" s="956"/>
      <c r="D101" s="1080"/>
      <c r="E101" s="956"/>
      <c r="F101" s="956"/>
      <c r="G101" s="956"/>
      <c r="H101" s="1004"/>
      <c r="I101" s="1118">
        <f>INDEX(TEMPLATE_NUMBER_POINT_FHD,B101,MATCH(TEMPLATE_SPHERE,TEMPLATE_SPHERE_LIST_FOR_NOTE,0))</f>
        <v>0</v>
      </c>
      <c r="J101" s="1118">
        <f>INDEX(TEMPLATE_DATA_POINT_FHD,B101,MATCH(TEMPLATE_SPHERE,TEMPLATE_SPHERE_LIST_FOR_NOTE,0))</f>
        <v>0</v>
      </c>
      <c r="K101" s="1118">
        <f>INDEX(TEMPLATE_NOTE_POINT_FHD,B101,MATCH(TEMPLATE_SPHERE,TEMPLATE_SPHERE_LIST_FOR_NOTE,0))</f>
        <v>0</v>
      </c>
      <c r="L101" s="957" t="str">
        <f>IF(I101=0,"",I101)</f>
        <v/>
      </c>
      <c r="M101" s="957" t="str">
        <f>IF(J101=0,"",J101)</f>
        <v/>
      </c>
      <c r="N101" s="957" t="str">
        <f>IF(K101=0,"",K101)</f>
        <v/>
      </c>
      <c r="O101" s="1070" t="s">
        <v>2354</v>
      </c>
      <c r="P101" s="1070"/>
      <c r="Q101" s="1070"/>
      <c r="R101" s="1070"/>
      <c r="S101" s="1070"/>
      <c r="T101" s="956" t="s">
        <v>2355</v>
      </c>
      <c r="U101" s="956"/>
      <c r="V101" s="956"/>
      <c r="W101" s="956"/>
      <c r="X101" s="956"/>
      <c r="Y101" s="1113"/>
      <c r="Z101" s="959" t="s">
        <v>760</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1792</v>
      </c>
      <c r="B148" s="958"/>
      <c r="C148" s="956" t="s">
        <v>2356</v>
      </c>
      <c r="D148" s="956" t="s">
        <v>1695</v>
      </c>
      <c r="E148" s="956" t="s">
        <v>1794</v>
      </c>
      <c r="F148" s="956" t="s">
        <v>2357</v>
      </c>
      <c r="G148" s="956"/>
      <c r="H148" s="956"/>
      <c r="I148" s="1076"/>
      <c r="J148" s="1076"/>
      <c r="K148" s="1076"/>
      <c r="L148" s="1076"/>
      <c r="M148" s="100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61"/>
      <c r="O148" s="956"/>
      <c r="P148" s="957"/>
      <c r="Q148" s="957"/>
      <c r="R148" s="957"/>
      <c r="S148" s="956"/>
      <c r="T148" s="956" t="s">
        <v>2358</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57"/>
      <c r="W148" s="957"/>
      <c r="X148" s="956" t="s">
        <v>2359</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1796</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1799</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1803</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1B2139-767A-8503-5407-79D465D2ABC7}"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8354" width="10.57421875" hidden="1"/>
    <col min="2" max="2" style="8354" width="11.00390625" hidden="1" customWidth="1"/>
    <col min="3" max="3" style="8354" width="10.57421875" hidden="1"/>
    <col min="4" max="4" style="8354" width="11.8515625" hidden="1" customWidth="1"/>
    <col min="5" max="5" style="8354" width="12.28125" hidden="1" customWidth="1"/>
    <col min="6" max="8" style="9205" width="12.28125" hidden="1" customWidth="1"/>
    <col min="9" max="9" style="9206" width="3.00390625" customWidth="1"/>
    <col min="10" max="11" style="9207" width="3.00390625" customWidth="1"/>
    <col min="12" max="12" style="9208" width="12.00390625" customWidth="1"/>
    <col min="13" max="13" style="8273" width="31.00390625" customWidth="1"/>
    <col min="14" max="14" style="8273" width="1.00390625" customWidth="1"/>
    <col min="15" max="18" style="8273" width="24.00390625" customWidth="1"/>
    <col min="19" max="19" style="8273" width="11.00390625" customWidth="1"/>
    <col min="20" max="20" style="8273" width="3.7109375" customWidth="1"/>
    <col min="21" max="21" style="8273" width="11.00390625" customWidth="1"/>
    <col min="22" max="22" style="8273" width="8.57421875" customWidth="1"/>
    <col min="23" max="23" style="8273" width="4.00390625" customWidth="1"/>
    <col min="24" max="24" style="8273" width="115.00390625" customWidth="1"/>
    <col min="25" max="29" style="8355" width="10.00390625" customWidth="1"/>
    <col min="30" max="30" style="8273"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2360</v>
      </c>
      <c r="M5" s="2716"/>
      <c r="N5" s="2716"/>
      <c r="O5" s="2716"/>
      <c r="P5" s="2716"/>
      <c r="Q5" s="2716"/>
      <c r="R5" s="2716"/>
      <c r="S5" s="2716"/>
      <c r="T5" s="2716"/>
      <c r="U5" s="2716"/>
      <c r="V5" s="1356"/>
      <c r="AD5" s="1268">
        <v>64</v>
      </c>
    </row>
    <row customHeight="1" ht="14.699999999999998">
      <c r="J6" s="489"/>
      <c r="K6" s="489"/>
      <c r="L6" s="2717" t="str">
        <f>IF(org=0,"Не определено",org)</f>
        <v>МУП ЖКХ "Родник"</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8491"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8491" customFormat="1" customHeight="1" ht="24">
      <c r="A9" s="1481"/>
      <c r="B9" s="1481"/>
      <c r="C9" s="1481"/>
      <c r="D9" s="1481"/>
      <c r="E9" s="1481"/>
      <c r="F9" s="1481"/>
      <c r="G9" s="1481"/>
      <c r="H9" s="1481"/>
      <c r="L9" s="1389"/>
      <c r="M9" s="408" t="s">
        <v>549</v>
      </c>
      <c r="N9" s="417"/>
      <c r="O9" s="2364" t="str">
        <f>IF(TITLE_DATE_CHANGE_PERIOD="",IF(TITLE_DATE_PR="","",TITLE_DATE_PR),TITLE_DATE_CHANGE_PERIOD)</f>
        <v>45658</v>
      </c>
      <c r="P9" s="2364"/>
      <c r="Q9" s="2364"/>
      <c r="R9" s="2364"/>
      <c r="S9" s="2364"/>
      <c r="T9" s="2364"/>
      <c r="U9" s="2364"/>
      <c r="V9" s="439"/>
      <c r="W9" s="439"/>
      <c r="X9" s="393"/>
      <c r="Y9" s="481"/>
      <c r="Z9" s="481"/>
      <c r="AA9" s="481"/>
      <c r="AB9" s="481"/>
      <c r="AC9" s="481"/>
      <c r="AD9" s="531">
        <v>23</v>
      </c>
    </row>
    <row s="8491" customFormat="1" customHeight="1" ht="24">
      <c r="A10" s="1481"/>
      <c r="B10" s="1481"/>
      <c r="C10" s="1481"/>
      <c r="D10" s="1481"/>
      <c r="E10" s="1481"/>
      <c r="F10" s="1481"/>
      <c r="G10" s="1481"/>
      <c r="H10" s="1481"/>
      <c r="L10" s="1363"/>
      <c r="M10" s="408" t="s">
        <v>550</v>
      </c>
      <c r="N10" s="417"/>
      <c r="O10" s="2364" t="str">
        <f>IF(TITLE_NUMBER_PR_CHANGE="",IF(TITLE_NUMBER_PR="","",TITLE_NUMBER_PR),TITLE_NUMBER_PR_CHANGE)</f>
        <v>1577</v>
      </c>
      <c r="P10" s="2364"/>
      <c r="Q10" s="2364"/>
      <c r="R10" s="2364"/>
      <c r="S10" s="2364"/>
      <c r="T10" s="2364"/>
      <c r="U10" s="2364"/>
      <c r="V10" s="439"/>
      <c r="W10" s="439"/>
      <c r="X10" s="393"/>
      <c r="Y10" s="481"/>
      <c r="Z10" s="481"/>
      <c r="AA10" s="481"/>
      <c r="AB10" s="481"/>
      <c r="AC10" s="481"/>
      <c r="AD10" s="531">
        <v>23</v>
      </c>
    </row>
    <row s="8491"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8491"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553</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428</v>
      </c>
      <c r="M14" s="2240"/>
      <c r="N14" s="2240"/>
      <c r="O14" s="2240"/>
      <c r="P14" s="2240"/>
      <c r="Q14" s="2240"/>
      <c r="R14" s="2240"/>
      <c r="S14" s="2240"/>
      <c r="T14" s="2240"/>
      <c r="U14" s="2240"/>
      <c r="V14" s="2240"/>
      <c r="W14" s="2240"/>
      <c r="X14" s="2240" t="s">
        <v>429</v>
      </c>
      <c r="AD14" s="1268">
        <v>14</v>
      </c>
    </row>
    <row customHeight="1" ht="14.699999999999998">
      <c r="J15" s="489"/>
      <c r="K15" s="489"/>
      <c r="L15" s="2386" t="s">
        <v>88</v>
      </c>
      <c r="M15" s="2322" t="s">
        <v>554</v>
      </c>
      <c r="N15" s="414"/>
      <c r="O15" s="2387" t="s">
        <v>2361</v>
      </c>
      <c r="P15" s="2388"/>
      <c r="Q15" s="2388"/>
      <c r="R15" s="2388"/>
      <c r="S15" s="2388"/>
      <c r="T15" s="2388"/>
      <c r="U15" s="2389"/>
      <c r="V15" s="2390" t="s">
        <v>556</v>
      </c>
      <c r="W15" s="2393" t="s">
        <v>1273</v>
      </c>
      <c r="X15" s="2240"/>
      <c r="AD15" s="1268">
        <v>14</v>
      </c>
    </row>
    <row customHeight="1" ht="35.699999999999996">
      <c r="J16" s="489"/>
      <c r="K16" s="489"/>
      <c r="L16" s="2386"/>
      <c r="M16" s="2322"/>
      <c r="N16" s="1144"/>
      <c r="O16" s="2373" t="s">
        <v>559</v>
      </c>
      <c r="P16" s="2373" t="s">
        <v>560</v>
      </c>
      <c r="Q16" s="2375" t="s">
        <v>561</v>
      </c>
      <c r="R16" s="2376"/>
      <c r="S16" s="2375" t="s">
        <v>574</v>
      </c>
      <c r="T16" s="2382"/>
      <c r="U16" s="2376"/>
      <c r="V16" s="2391"/>
      <c r="W16" s="2394"/>
      <c r="X16" s="2240"/>
      <c r="AD16" s="1268">
        <v>34</v>
      </c>
    </row>
    <row customHeight="1" ht="35.699999999999996">
      <c r="A17" s="1483" t="s">
        <v>209</v>
      </c>
      <c r="B17" s="1483" t="s">
        <v>210</v>
      </c>
      <c r="C17" s="1483" t="s">
        <v>211</v>
      </c>
      <c r="D17" s="1483" t="s">
        <v>212</v>
      </c>
      <c r="E17" s="1483"/>
      <c r="J17" s="489"/>
      <c r="K17" s="489"/>
      <c r="L17" s="2386"/>
      <c r="M17" s="2322"/>
      <c r="N17" s="415"/>
      <c r="O17" s="2374"/>
      <c r="P17" s="2374"/>
      <c r="Q17" s="1335" t="s">
        <v>570</v>
      </c>
      <c r="R17" s="1335" t="s">
        <v>571</v>
      </c>
      <c r="S17" s="1405" t="s">
        <v>572</v>
      </c>
      <c r="T17" s="2383" t="s">
        <v>573</v>
      </c>
      <c r="U17" s="2384"/>
      <c r="V17" s="2392"/>
      <c r="W17" s="2395"/>
      <c r="X17" s="2240"/>
      <c r="AD17" s="1268">
        <v>34</v>
      </c>
    </row>
    <row s="8962" customFormat="1" customHeight="1" ht="11.549999999999999">
      <c r="A18" s="1483"/>
      <c r="B18" s="1483"/>
      <c r="C18" s="1483"/>
      <c r="D18" s="1483"/>
      <c r="E18" s="1483"/>
      <c r="F18" s="1475"/>
      <c r="G18" s="1475"/>
      <c r="H18" s="1475"/>
      <c r="I18" s="1359"/>
      <c r="J18" s="1360"/>
      <c r="K18" s="1367">
        <v>1</v>
      </c>
      <c r="L18" s="1390" t="s">
        <v>187</v>
      </c>
      <c r="M18" s="1368" t="s">
        <v>104</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237</v>
      </c>
      <c r="B19" s="1476" t="s">
        <v>238</v>
      </c>
      <c r="C19" s="1476" t="s">
        <v>239</v>
      </c>
      <c r="D19" s="1476" t="s">
        <v>240</v>
      </c>
      <c r="E19" s="1476"/>
      <c r="F19" s="1478"/>
      <c r="G19" s="1478"/>
      <c r="H19" s="1478"/>
      <c r="I19" s="474"/>
      <c r="J19" s="473"/>
      <c r="K19" s="468"/>
      <c r="L19" s="1406">
        <f>INDEX(PT_DIFFERENTIATION_NUM_NTAR,MATCH(A19,PT_DIFFERENTIATION_NTAR_ID,0))</f>
        <v>0</v>
      </c>
      <c r="M19" s="411" t="s">
        <v>198</v>
      </c>
      <c r="N19" s="413"/>
      <c r="O19" s="2719" t="str">
        <f>INDEX(PT_DIFFERENTIATION_NTAR,MATCH(A19,PT_DIFFERENTIATION_NTAR_ID,0))</f>
        <v/>
      </c>
      <c r="P19" s="2719"/>
      <c r="Q19" s="2719"/>
      <c r="R19" s="2719"/>
      <c r="S19" s="2719"/>
      <c r="T19" s="2719"/>
      <c r="U19" s="2719"/>
      <c r="V19" s="2719"/>
      <c r="W19" s="2719"/>
      <c r="X19" s="1371" t="s">
        <v>524</v>
      </c>
      <c r="Z19" s="613"/>
      <c r="AA19" s="613" t="str">
        <f>IF(M19="","",M19)</f>
        <v>Наименование тарифа</v>
      </c>
      <c r="AB19" s="613"/>
      <c r="AC19" s="613"/>
      <c r="AD19" s="1268">
        <v>20</v>
      </c>
    </row>
    <row customHeight="1" ht="21">
      <c r="A20" s="1476" t="s">
        <v>237</v>
      </c>
      <c r="B20" s="1476" t="s">
        <v>238</v>
      </c>
      <c r="C20" s="1476" t="s">
        <v>239</v>
      </c>
      <c r="D20" s="1476" t="s">
        <v>240</v>
      </c>
      <c r="E20" s="1476"/>
      <c r="F20" s="1478"/>
      <c r="G20" s="1478"/>
      <c r="H20" s="1478"/>
      <c r="I20" s="1403"/>
      <c r="J20" s="465"/>
      <c r="K20" s="466"/>
      <c r="L20" s="1406" t="str">
        <f>INDEX(PT_DIFFERENTIATION_NUM_TER,MATCH(B19,PT_DIFFERENTIATION_TER_ID,0))</f>
        <v>.</v>
      </c>
      <c r="M20" s="421" t="s">
        <v>525</v>
      </c>
      <c r="N20" s="413"/>
      <c r="O20" s="2719" t="str">
        <f>INDEX(PT_DIFFERENTIATION_TER,MATCH(B19,PT_DIFFERENTIATION_TER_ID,0))</f>
        <v/>
      </c>
      <c r="P20" s="2719"/>
      <c r="Q20" s="2719"/>
      <c r="R20" s="2719"/>
      <c r="S20" s="2719"/>
      <c r="T20" s="2719"/>
      <c r="U20" s="2719"/>
      <c r="V20" s="2719"/>
      <c r="W20" s="2719"/>
      <c r="X20" s="1371" t="s">
        <v>526</v>
      </c>
      <c r="Z20" s="613"/>
      <c r="AA20" s="613" t="str">
        <f>IF(M20="","",M20)</f>
        <v>Территория действия тарифа</v>
      </c>
      <c r="AB20" s="613"/>
      <c r="AC20" s="613"/>
      <c r="AD20" s="1268">
        <v>20</v>
      </c>
    </row>
    <row customHeight="1" ht="24">
      <c r="A21" s="1476" t="s">
        <v>237</v>
      </c>
      <c r="B21" s="1476" t="s">
        <v>238</v>
      </c>
      <c r="C21" s="1476" t="s">
        <v>239</v>
      </c>
      <c r="D21" s="1476" t="s">
        <v>240</v>
      </c>
      <c r="E21" s="1476"/>
      <c r="F21" s="1478"/>
      <c r="G21" s="1478"/>
      <c r="H21" s="1478"/>
      <c r="I21" s="467"/>
      <c r="J21" s="465"/>
      <c r="K21" s="466"/>
      <c r="L21" s="1406" t="str">
        <f>INDEX(PT_DIFFERENTIATION_NUM_CS,MATCH(C19,PT_DIFFERENTIATION_CS_ID,0))</f>
        <v>..</v>
      </c>
      <c r="M21" s="422" t="s">
        <v>527</v>
      </c>
      <c r="N21" s="413"/>
      <c r="O21" s="2719" t="str">
        <f>INDEX(PT_DIFFERENTIATION_CS,MATCH(C19,PT_DIFFERENTIATION_CS_ID,0))</f>
        <v/>
      </c>
      <c r="P21" s="2719"/>
      <c r="Q21" s="2719"/>
      <c r="R21" s="2719"/>
      <c r="S21" s="2719"/>
      <c r="T21" s="2719"/>
      <c r="U21" s="2719"/>
      <c r="V21" s="2719"/>
      <c r="W21" s="2719"/>
      <c r="X21" s="1371" t="s">
        <v>528</v>
      </c>
      <c r="Z21" s="613"/>
      <c r="AA21" s="613" t="str">
        <f>IF(M21="","",M21)</f>
        <v>Наименование системы теплоснабжения </v>
      </c>
      <c r="AB21" s="613"/>
      <c r="AC21" s="613"/>
      <c r="AD21" s="1268">
        <v>23</v>
      </c>
    </row>
    <row customHeight="1" ht="21">
      <c r="A22" s="1476" t="s">
        <v>237</v>
      </c>
      <c r="B22" s="1476" t="s">
        <v>238</v>
      </c>
      <c r="C22" s="1476" t="s">
        <v>239</v>
      </c>
      <c r="D22" s="1476" t="s">
        <v>240</v>
      </c>
      <c r="E22" s="1476"/>
      <c r="F22" s="1478"/>
      <c r="G22" s="1478"/>
      <c r="H22" s="1478"/>
      <c r="I22" s="467"/>
      <c r="J22" s="465"/>
      <c r="K22" s="466"/>
      <c r="L22" s="1406" t="str">
        <f>INDEX(PT_DIFFERENTIATION_NUM_IST_TE,MATCH(D19,PT_DIFFERENTIATION_IST_TE_ID,0))</f>
        <v>...</v>
      </c>
      <c r="M22" s="423" t="s">
        <v>529</v>
      </c>
      <c r="N22" s="413"/>
      <c r="O22" s="2719" t="str">
        <f>INDEX(PT_DIFFERENTIATION_IST_TE,MATCH(D19,PT_DIFFERENTIATION_IST_TE_ID,0))</f>
        <v/>
      </c>
      <c r="P22" s="2719"/>
      <c r="Q22" s="2719"/>
      <c r="R22" s="2719"/>
      <c r="S22" s="2719"/>
      <c r="T22" s="2719"/>
      <c r="U22" s="2719"/>
      <c r="V22" s="2719"/>
      <c r="W22" s="2719"/>
      <c r="X22" s="1371" t="s">
        <v>530</v>
      </c>
      <c r="Z22" s="613"/>
      <c r="AA22" s="613" t="str">
        <f>IF(M22="","",M22)</f>
        <v>Источник тепловой энергии  </v>
      </c>
      <c r="AB22" s="613"/>
      <c r="AC22" s="613"/>
      <c r="AD22" s="1268">
        <v>20</v>
      </c>
    </row>
    <row customHeight="1" ht="96.75">
      <c r="A23" s="1476" t="s">
        <v>237</v>
      </c>
      <c r="B23" s="1476" t="s">
        <v>238</v>
      </c>
      <c r="C23" s="1476" t="s">
        <v>239</v>
      </c>
      <c r="D23" s="1476" t="s">
        <v>240</v>
      </c>
      <c r="E23" s="1476"/>
      <c r="F23" s="2720" t="str">
        <f>L22&amp;".1"</f>
        <v>....1</v>
      </c>
      <c r="I23" s="2370">
        <v>1</v>
      </c>
      <c r="J23" s="1404"/>
      <c r="K23" s="469"/>
      <c r="L23" s="1406" t="str">
        <f>$F$23</f>
        <v>....1</v>
      </c>
      <c r="M23" s="398" t="s">
        <v>532</v>
      </c>
      <c r="N23" s="413"/>
      <c r="O23" s="2418"/>
      <c r="P23" s="2418"/>
      <c r="Q23" s="2418"/>
      <c r="R23" s="2418"/>
      <c r="S23" s="2418"/>
      <c r="T23" s="2418"/>
      <c r="U23" s="2418"/>
      <c r="V23" s="2418"/>
      <c r="W23" s="2418"/>
      <c r="X23" s="1371" t="s">
        <v>533</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237</v>
      </c>
      <c r="B24" s="1476" t="s">
        <v>238</v>
      </c>
      <c r="C24" s="1476" t="s">
        <v>239</v>
      </c>
      <c r="D24" s="1476" t="s">
        <v>240</v>
      </c>
      <c r="E24" s="1476"/>
      <c r="F24" s="2720"/>
      <c r="G24" s="2330" t="str">
        <f>F23&amp;".1"</f>
        <v>....1.1</v>
      </c>
      <c r="I24" s="2370"/>
      <c r="J24" s="2370">
        <v>1</v>
      </c>
      <c r="K24" s="470"/>
      <c r="L24" s="1406" t="str">
        <f>$G$24</f>
        <v>....1.1</v>
      </c>
      <c r="M24" s="399" t="s">
        <v>535</v>
      </c>
      <c r="N24" s="413"/>
      <c r="O24" s="2358"/>
      <c r="P24" s="2359"/>
      <c r="Q24" s="2359"/>
      <c r="R24" s="2359"/>
      <c r="S24" s="2359"/>
      <c r="T24" s="2359"/>
      <c r="U24" s="2359"/>
      <c r="V24" s="2359"/>
      <c r="W24" s="2360"/>
      <c r="X24" s="1371" t="s">
        <v>536</v>
      </c>
      <c r="Z24" s="613"/>
      <c r="AA24" s="613" t="str">
        <f>IF(M24="","",M24)</f>
        <v>Группа потребителей</v>
      </c>
      <c r="AB24" s="613"/>
      <c r="AC24" s="613"/>
      <c r="AD24" s="1268">
        <v>82</v>
      </c>
    </row>
    <row customHeight="1" ht="11.549999999999999">
      <c r="A25" s="1476" t="s">
        <v>237</v>
      </c>
      <c r="B25" s="1476" t="s">
        <v>238</v>
      </c>
      <c r="C25" s="1476" t="s">
        <v>239</v>
      </c>
      <c r="D25" s="1476" t="s">
        <v>240</v>
      </c>
      <c r="E25" s="1476"/>
      <c r="F25" s="2720"/>
      <c r="G25" s="2330"/>
      <c r="H25" s="2330" t="str">
        <f>G24&amp;".1"</f>
        <v>....1.1.1</v>
      </c>
      <c r="I25" s="2370"/>
      <c r="J25" s="2370"/>
      <c r="K25" s="470">
        <v>1</v>
      </c>
      <c r="L25" s="1406" t="str">
        <f>$H$25</f>
        <v>....1.1.1</v>
      </c>
      <c r="M25" s="1460"/>
      <c r="N25" s="413"/>
      <c r="O25" s="864"/>
      <c r="P25" s="438"/>
      <c r="Q25" s="864"/>
      <c r="R25" s="1370"/>
      <c r="S25" s="2715"/>
      <c r="T25" s="2220" t="s">
        <v>66</v>
      </c>
      <c r="U25" s="2715"/>
      <c r="V25" s="2220" t="s">
        <v>19</v>
      </c>
      <c r="W25" s="438"/>
      <c r="X25" s="2366" t="s">
        <v>538</v>
      </c>
      <c r="Y25" s="624">
        <f>STRCHECKDATE(O26:W26)</f>
      </c>
      <c r="Z25" s="613"/>
      <c r="AA25" s="613" t="str">
        <f>IF(M25="","",M25)</f>
        <v/>
      </c>
      <c r="AB25" s="613"/>
      <c r="AC25" s="613"/>
      <c r="AD25" s="1268">
        <v>11</v>
      </c>
    </row>
    <row customHeight="1" ht="11.549999999999999">
      <c r="A26" s="1476" t="s">
        <v>237</v>
      </c>
      <c r="B26" s="1476" t="s">
        <v>238</v>
      </c>
      <c r="C26" s="1476" t="s">
        <v>239</v>
      </c>
      <c r="D26" s="1476" t="s">
        <v>240</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237</v>
      </c>
      <c r="B27" s="1476" t="s">
        <v>238</v>
      </c>
      <c r="C27" s="1476" t="s">
        <v>239</v>
      </c>
      <c r="D27" s="1476" t="s">
        <v>240</v>
      </c>
      <c r="E27" s="1476"/>
      <c r="F27" s="2720"/>
      <c r="G27" s="2330"/>
      <c r="I27" s="2370"/>
      <c r="J27" s="2370"/>
      <c r="K27" s="469"/>
      <c r="L27" s="1391"/>
      <c r="M27" s="401" t="s">
        <v>539</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237</v>
      </c>
      <c r="B28" s="1476" t="s">
        <v>238</v>
      </c>
      <c r="C28" s="1476" t="s">
        <v>239</v>
      </c>
      <c r="D28" s="1476" t="s">
        <v>240</v>
      </c>
      <c r="E28" s="1476"/>
      <c r="F28" s="2720"/>
      <c r="I28" s="2370"/>
      <c r="J28" s="1404"/>
      <c r="K28" s="469"/>
      <c r="L28" s="1391"/>
      <c r="M28" s="400" t="s">
        <v>540</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237</v>
      </c>
      <c r="B29" s="1476" t="s">
        <v>238</v>
      </c>
      <c r="C29" s="1476" t="s">
        <v>239</v>
      </c>
      <c r="D29" s="1476" t="s">
        <v>240</v>
      </c>
      <c r="E29" s="1476"/>
      <c r="F29" s="1478"/>
      <c r="G29" s="1478"/>
      <c r="H29" s="650"/>
      <c r="I29" s="473"/>
      <c r="J29" s="488"/>
      <c r="K29" s="468"/>
      <c r="L29" s="1391"/>
      <c r="M29" s="478" t="s">
        <v>541</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237</v>
      </c>
      <c r="B30" s="1476" t="s">
        <v>238</v>
      </c>
      <c r="C30" s="1476" t="s">
        <v>239</v>
      </c>
      <c r="D30" s="1476"/>
      <c r="E30" s="1476" t="s">
        <v>715</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237</v>
      </c>
      <c r="B31" s="1476" t="s">
        <v>238</v>
      </c>
      <c r="C31" s="1476"/>
      <c r="D31" s="1476"/>
      <c r="E31" s="1476" t="s">
        <v>2362</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2363</v>
      </c>
      <c r="B32" s="1476"/>
      <c r="C32" s="1476"/>
      <c r="D32" s="1476"/>
      <c r="E32" s="1476" t="s">
        <v>182</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8415" customFormat="1" customHeight="1" ht="11.549999999999999">
      <c r="A33" s="1476"/>
      <c r="B33" s="1476"/>
      <c r="C33" s="1476"/>
      <c r="D33" s="1476"/>
      <c r="E33" s="1476" t="s">
        <v>356</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932</v>
      </c>
      <c r="M35" s="2398" t="s">
        <v>2364</v>
      </c>
      <c r="N35" s="2398"/>
      <c r="O35" s="2398"/>
      <c r="P35" s="2398"/>
      <c r="Q35" s="2398"/>
      <c r="R35" s="2398"/>
      <c r="S35" s="2398"/>
      <c r="T35" s="2398"/>
      <c r="U35" s="2398"/>
      <c r="V35" s="2398"/>
      <c r="W35" s="2398"/>
      <c r="X35" s="2398"/>
      <c r="AD35" s="1268">
        <v>27</v>
      </c>
    </row>
    <row customHeight="1" ht="109.19999999999999">
      <c r="H36" s="650"/>
      <c r="I36" s="1416"/>
      <c r="M36" s="2398" t="s">
        <v>2365</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82</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891CDA-755E-5D43-5585-576B26FC89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1E282F-3577-F9F2-A923-E759E0ABF5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C794D-E059-95F4-D46F-BBB8F78566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E0E7BF-47B6-B303-8778-3694387821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397A1D-3691-BC3F-53F4-4598121D93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FED3A9-DFB1-9523-0E7F-A551D9F40E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A7FBC-C59C-8AEC-B567-FDF42B3239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DF48D8-FF21-313E-A4F4-505FEC649E3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688AC7-4847-D40D-1703-C00AE0C4CFE8}" mc:Ignorable="x14ac xr xr2 xr3">
  <dimension ref="A1:E8"/>
  <sheetViews>
    <sheetView topLeftCell="A1" showGridLines="0" workbookViewId="0">
      <selection activeCell="A1" sqref="A1"/>
    </sheetView>
  </sheetViews>
  <sheetFormatPr customHeight="1" defaultRowHeight="11.25"/>
  <cols>
    <col min="1" max="1" style="13673" width="10.57421875" customWidth="1"/>
    <col min="2" max="2" style="13673" width="8.7109375" customWidth="1"/>
    <col min="3" max="3" style="13673" width="18.140625" customWidth="1"/>
    <col min="4" max="4" style="13673" width="12.57421875" customWidth="1"/>
  </cols>
  <sheetData>
    <row customHeight="1" ht="11.25">
      <c r="A1" s="2728" t="s">
        <v>2366</v>
      </c>
      <c r="B1" s="2729" t="s">
        <v>2367</v>
      </c>
      <c r="C1" s="2730" t="s">
        <v>2368</v>
      </c>
      <c r="D1" s="2731"/>
      <c r="E1" s="949" t="s">
        <v>2369</v>
      </c>
    </row>
    <row customHeight="1" ht="11.25">
      <c r="A2" s="2732"/>
      <c r="B2" s="878" t="s">
        <v>26</v>
      </c>
      <c r="C2" s="866"/>
      <c r="D2" s="877"/>
      <c r="E2" s="949"/>
    </row>
    <row customHeight="1" ht="11.25">
      <c r="A3" s="2733"/>
      <c r="B3" s="2734" t="s">
        <v>33</v>
      </c>
      <c r="C3" s="866"/>
      <c r="D3" s="877"/>
      <c r="E3" s="949"/>
    </row>
    <row customHeight="1" ht="11.25">
      <c r="A4" s="2735"/>
      <c r="B4" s="879" t="s">
        <v>1792</v>
      </c>
      <c r="C4" s="866"/>
      <c r="D4" s="877"/>
      <c r="E4" s="949"/>
    </row>
    <row customHeight="1" ht="11.25">
      <c r="A5" s="2736"/>
      <c r="B5" s="879" t="s">
        <v>1786</v>
      </c>
      <c r="C5" s="2737" t="s">
        <v>2133</v>
      </c>
      <c r="D5" s="2738" t="s">
        <v>2370</v>
      </c>
      <c r="E5" s="949"/>
    </row>
    <row s="8415" customFormat="1" customHeight="1" ht="11.25">
      <c r="A6" s="2739"/>
      <c r="B6" s="879" t="s">
        <v>1796</v>
      </c>
      <c r="C6" s="866"/>
      <c r="D6" s="877"/>
      <c r="E6" s="949"/>
    </row>
    <row customHeight="1" ht="11.25">
      <c r="A7" s="2740"/>
      <c r="B7" s="879" t="s">
        <v>1803</v>
      </c>
      <c r="C7" s="866"/>
      <c r="D7" s="877"/>
      <c r="E7" s="949"/>
    </row>
    <row customHeight="1" ht="11.25">
      <c r="A8" s="869"/>
      <c r="B8" s="879" t="s">
        <v>1799</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D201A4-4F03-2492-C91A-AB5FBE20C0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1C72E2-1893-D94D-71BC-7BA5BB495D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BB6C81-3478-35D4-46F5-0D75C16BD28B}" mc:Ignorable="x14ac xr xr2 xr3">
  <sheetPr>
    <tabColor rgb="FFFFCC99"/>
  </sheetPr>
  <dimension ref="A1:I351"/>
  <sheetViews>
    <sheetView topLeftCell="A1" showGridLines="0" workbookViewId="0">
      <selection activeCell="A1" sqref="A1"/>
    </sheetView>
  </sheetViews>
  <sheetFormatPr defaultColWidth="9.140625" customHeight="1" defaultRowHeight="11.25"/>
  <cols>
    <col min="1" max="2" style="8415" width="9.140625"/>
    <col min="3" max="3" style="8415" width="20.7109375" customWidth="1"/>
    <col min="4" max="4" style="8415" width="25.140625" customWidth="1"/>
    <col min="5" max="9" style="8415" width="9.140625"/>
  </cols>
  <sheetData>
    <row customHeight="1" ht="11.25">
      <c r="A1" s="181" t="s">
        <v>2371</v>
      </c>
      <c r="B1" s="181" t="s">
        <v>2372</v>
      </c>
      <c r="C1" s="181" t="s">
        <v>2373</v>
      </c>
      <c r="D1" s="181" t="s">
        <v>2374</v>
      </c>
      <c r="E1" s="181" t="s">
        <v>2375</v>
      </c>
      <c r="F1" s="181" t="s">
        <v>2376</v>
      </c>
      <c r="G1" s="181" t="s">
        <v>2377</v>
      </c>
      <c r="H1" s="181" t="s">
        <v>2378</v>
      </c>
      <c r="I1" s="181" t="s">
        <v>2379</v>
      </c>
    </row>
    <row customHeight="1" ht="11.25">
      <c r="A2" s="8165" t="s">
        <v>2380</v>
      </c>
      <c r="B2" s="8165" t="s">
        <v>16</v>
      </c>
      <c r="C2" s="8165" t="s">
        <v>2381</v>
      </c>
      <c r="D2" s="8165" t="s">
        <v>2382</v>
      </c>
      <c r="E2" s="8165" t="s">
        <v>2383</v>
      </c>
      <c r="F2" s="8165" t="s">
        <v>2384</v>
      </c>
      <c r="G2" s="8165" t="s">
        <v>28</v>
      </c>
      <c r="H2" s="8165" t="s">
        <v>28</v>
      </c>
      <c r="I2" s="8165" t="s">
        <v>936</v>
      </c>
    </row>
    <row customHeight="1" ht="11.25">
      <c r="A3" s="8165" t="s">
        <v>2380</v>
      </c>
      <c r="B3" s="8165" t="s">
        <v>16</v>
      </c>
      <c r="C3" s="8165" t="s">
        <v>2385</v>
      </c>
      <c r="D3" s="8165" t="s">
        <v>2386</v>
      </c>
      <c r="E3" s="8165" t="s">
        <v>2387</v>
      </c>
      <c r="F3" s="8165" t="s">
        <v>52</v>
      </c>
      <c r="G3" s="8165" t="s">
        <v>2388</v>
      </c>
      <c r="H3" s="8165" t="s">
        <v>28</v>
      </c>
      <c r="I3" s="8165" t="s">
        <v>936</v>
      </c>
    </row>
    <row customHeight="1" ht="11.25">
      <c r="A4" s="8165" t="s">
        <v>2380</v>
      </c>
      <c r="B4" s="8165" t="s">
        <v>16</v>
      </c>
      <c r="C4" s="8165" t="s">
        <v>2389</v>
      </c>
      <c r="D4" s="8165" t="s">
        <v>2390</v>
      </c>
      <c r="E4" s="8165" t="s">
        <v>2391</v>
      </c>
      <c r="F4" s="8165" t="s">
        <v>2392</v>
      </c>
      <c r="G4" s="8165" t="s">
        <v>2393</v>
      </c>
      <c r="H4" s="8165" t="s">
        <v>28</v>
      </c>
      <c r="I4" s="8165" t="s">
        <v>936</v>
      </c>
    </row>
    <row customHeight="1" ht="11.25">
      <c r="A5" s="8165" t="s">
        <v>2380</v>
      </c>
      <c r="B5" s="8165" t="s">
        <v>16</v>
      </c>
      <c r="C5" s="8165" t="s">
        <v>2394</v>
      </c>
      <c r="D5" s="8165" t="s">
        <v>2395</v>
      </c>
      <c r="E5" s="8165" t="s">
        <v>2396</v>
      </c>
      <c r="F5" s="8165" t="s">
        <v>2397</v>
      </c>
      <c r="G5" s="8165" t="s">
        <v>28</v>
      </c>
      <c r="H5" s="8165" t="s">
        <v>28</v>
      </c>
      <c r="I5" s="8165" t="s">
        <v>936</v>
      </c>
    </row>
    <row customHeight="1" ht="11.25">
      <c r="A6" s="8165" t="s">
        <v>2380</v>
      </c>
      <c r="B6" s="8165" t="s">
        <v>16</v>
      </c>
      <c r="C6" s="8165" t="s">
        <v>2398</v>
      </c>
      <c r="D6" s="8165" t="s">
        <v>2399</v>
      </c>
      <c r="E6" s="8165" t="s">
        <v>2396</v>
      </c>
      <c r="F6" s="8165" t="s">
        <v>2400</v>
      </c>
      <c r="G6" s="8165" t="s">
        <v>28</v>
      </c>
      <c r="H6" s="8165" t="s">
        <v>28</v>
      </c>
      <c r="I6" s="8165" t="s">
        <v>936</v>
      </c>
    </row>
    <row customHeight="1" ht="11.25">
      <c r="A7" s="8165" t="s">
        <v>2380</v>
      </c>
      <c r="B7" s="8165" t="s">
        <v>16</v>
      </c>
      <c r="C7" s="8165" t="s">
        <v>2401</v>
      </c>
      <c r="D7" s="8165" t="s">
        <v>2402</v>
      </c>
      <c r="E7" s="8165" t="s">
        <v>2403</v>
      </c>
      <c r="F7" s="8165" t="s">
        <v>2404</v>
      </c>
      <c r="G7" s="8165" t="s">
        <v>28</v>
      </c>
      <c r="H7" s="8165" t="s">
        <v>28</v>
      </c>
      <c r="I7" s="8165" t="s">
        <v>936</v>
      </c>
    </row>
    <row customHeight="1" ht="11.25">
      <c r="A8" s="8165" t="s">
        <v>2380</v>
      </c>
      <c r="B8" s="8165" t="s">
        <v>16</v>
      </c>
      <c r="C8" s="8165" t="s">
        <v>2405</v>
      </c>
      <c r="D8" s="8165" t="s">
        <v>2406</v>
      </c>
      <c r="E8" s="8165" t="s">
        <v>2407</v>
      </c>
      <c r="F8" s="8165" t="s">
        <v>2392</v>
      </c>
      <c r="G8" s="8165" t="s">
        <v>2408</v>
      </c>
      <c r="H8" s="8165" t="s">
        <v>28</v>
      </c>
      <c r="I8" s="8165" t="s">
        <v>936</v>
      </c>
    </row>
    <row customHeight="1" ht="11.25">
      <c r="A9" s="8165" t="s">
        <v>2380</v>
      </c>
      <c r="B9" s="8165" t="s">
        <v>16</v>
      </c>
      <c r="C9" s="8165" t="s">
        <v>2409</v>
      </c>
      <c r="D9" s="8165" t="s">
        <v>2410</v>
      </c>
      <c r="E9" s="8165" t="s">
        <v>2411</v>
      </c>
      <c r="F9" s="8165" t="s">
        <v>2412</v>
      </c>
      <c r="G9" s="8165" t="s">
        <v>2413</v>
      </c>
      <c r="H9" s="8165" t="s">
        <v>28</v>
      </c>
      <c r="I9" s="8165" t="s">
        <v>936</v>
      </c>
    </row>
    <row customHeight="1" ht="11.25">
      <c r="A10" s="8165" t="s">
        <v>2380</v>
      </c>
      <c r="B10" s="8165" t="s">
        <v>16</v>
      </c>
      <c r="C10" s="8165" t="s">
        <v>2414</v>
      </c>
      <c r="D10" s="8165" t="s">
        <v>2415</v>
      </c>
      <c r="E10" s="8165" t="s">
        <v>2416</v>
      </c>
      <c r="F10" s="8165" t="s">
        <v>2417</v>
      </c>
      <c r="G10" s="8165" t="s">
        <v>28</v>
      </c>
      <c r="H10" s="8165" t="s">
        <v>28</v>
      </c>
      <c r="I10" s="8165" t="s">
        <v>936</v>
      </c>
    </row>
    <row customHeight="1" ht="11.25">
      <c r="A11" s="8165" t="s">
        <v>2380</v>
      </c>
      <c r="B11" s="8165" t="s">
        <v>16</v>
      </c>
      <c r="C11" s="8165" t="s">
        <v>2418</v>
      </c>
      <c r="D11" s="8165" t="s">
        <v>2419</v>
      </c>
      <c r="E11" s="8165" t="s">
        <v>2420</v>
      </c>
      <c r="F11" s="8165" t="s">
        <v>2421</v>
      </c>
      <c r="G11" s="8165" t="s">
        <v>28</v>
      </c>
      <c r="H11" s="8165" t="s">
        <v>28</v>
      </c>
      <c r="I11" s="8165" t="s">
        <v>936</v>
      </c>
    </row>
    <row customHeight="1" ht="11.25">
      <c r="A12" s="8165" t="s">
        <v>2380</v>
      </c>
      <c r="B12" s="8165" t="s">
        <v>16</v>
      </c>
      <c r="C12" s="8165" t="s">
        <v>2422</v>
      </c>
      <c r="D12" s="8165" t="s">
        <v>2423</v>
      </c>
      <c r="E12" s="8165" t="s">
        <v>2424</v>
      </c>
      <c r="F12" s="8165" t="s">
        <v>2392</v>
      </c>
      <c r="G12" s="8165" t="s">
        <v>28</v>
      </c>
      <c r="H12" s="8165" t="s">
        <v>28</v>
      </c>
      <c r="I12" s="8165" t="s">
        <v>936</v>
      </c>
    </row>
    <row customHeight="1" ht="11.25">
      <c r="A13" s="8165" t="s">
        <v>2380</v>
      </c>
      <c r="B13" s="8165" t="s">
        <v>16</v>
      </c>
      <c r="C13" s="8165" t="s">
        <v>2425</v>
      </c>
      <c r="D13" s="8165" t="s">
        <v>2426</v>
      </c>
      <c r="E13" s="8165" t="s">
        <v>2427</v>
      </c>
      <c r="F13" s="8165" t="s">
        <v>2392</v>
      </c>
      <c r="G13" s="8165" t="s">
        <v>28</v>
      </c>
      <c r="H13" s="8165" t="s">
        <v>28</v>
      </c>
      <c r="I13" s="8165" t="s">
        <v>936</v>
      </c>
    </row>
    <row customHeight="1" ht="11.25">
      <c r="A14" s="8165" t="s">
        <v>2380</v>
      </c>
      <c r="B14" s="8165" t="s">
        <v>16</v>
      </c>
      <c r="C14" s="8165" t="s">
        <v>2428</v>
      </c>
      <c r="D14" s="8165" t="s">
        <v>2429</v>
      </c>
      <c r="E14" s="8165" t="s">
        <v>2430</v>
      </c>
      <c r="F14" s="8165" t="s">
        <v>2431</v>
      </c>
      <c r="G14" s="8165" t="s">
        <v>28</v>
      </c>
      <c r="H14" s="8165" t="s">
        <v>28</v>
      </c>
      <c r="I14" s="8165" t="s">
        <v>936</v>
      </c>
    </row>
    <row customHeight="1" ht="11.25">
      <c r="A15" s="8165" t="s">
        <v>2380</v>
      </c>
      <c r="B15" s="8165" t="s">
        <v>16</v>
      </c>
      <c r="C15" s="8165" t="s">
        <v>2432</v>
      </c>
      <c r="D15" s="8165" t="s">
        <v>2433</v>
      </c>
      <c r="E15" s="8165" t="s">
        <v>2434</v>
      </c>
      <c r="F15" s="8165" t="s">
        <v>2435</v>
      </c>
      <c r="G15" s="8165" t="s">
        <v>28</v>
      </c>
      <c r="H15" s="8165" t="s">
        <v>28</v>
      </c>
      <c r="I15" s="8165" t="s">
        <v>936</v>
      </c>
    </row>
    <row customHeight="1" ht="11.25">
      <c r="A16" s="8165" t="s">
        <v>2380</v>
      </c>
      <c r="B16" s="8165" t="s">
        <v>16</v>
      </c>
      <c r="C16" s="8165" t="s">
        <v>2436</v>
      </c>
      <c r="D16" s="8165" t="s">
        <v>2437</v>
      </c>
      <c r="E16" s="8165" t="s">
        <v>2434</v>
      </c>
      <c r="F16" s="8165" t="s">
        <v>2438</v>
      </c>
      <c r="G16" s="8165" t="s">
        <v>28</v>
      </c>
      <c r="H16" s="8165" t="s">
        <v>28</v>
      </c>
      <c r="I16" s="8165" t="s">
        <v>936</v>
      </c>
    </row>
    <row customHeight="1" ht="11.25">
      <c r="A17" s="8165" t="s">
        <v>2380</v>
      </c>
      <c r="B17" s="8165" t="s">
        <v>16</v>
      </c>
      <c r="C17" s="8165" t="s">
        <v>2439</v>
      </c>
      <c r="D17" s="8165" t="s">
        <v>2440</v>
      </c>
      <c r="E17" s="8165" t="s">
        <v>2441</v>
      </c>
      <c r="F17" s="8165" t="s">
        <v>2392</v>
      </c>
      <c r="G17" s="8165" t="s">
        <v>28</v>
      </c>
      <c r="H17" s="8165" t="s">
        <v>28</v>
      </c>
      <c r="I17" s="8165" t="s">
        <v>936</v>
      </c>
    </row>
    <row customHeight="1" ht="11.25">
      <c r="A18" s="8165" t="s">
        <v>2380</v>
      </c>
      <c r="B18" s="8165" t="s">
        <v>16</v>
      </c>
      <c r="C18" s="8165" t="s">
        <v>2442</v>
      </c>
      <c r="D18" s="8165" t="s">
        <v>2443</v>
      </c>
      <c r="E18" s="8165" t="s">
        <v>2444</v>
      </c>
      <c r="F18" s="8165" t="s">
        <v>704</v>
      </c>
      <c r="G18" s="8165" t="s">
        <v>28</v>
      </c>
      <c r="H18" s="8165" t="s">
        <v>28</v>
      </c>
      <c r="I18" s="8165" t="s">
        <v>936</v>
      </c>
    </row>
    <row customHeight="1" ht="11.25">
      <c r="A19" s="8165" t="s">
        <v>2380</v>
      </c>
      <c r="B19" s="8165" t="s">
        <v>16</v>
      </c>
      <c r="C19" s="8165" t="s">
        <v>28</v>
      </c>
      <c r="D19" s="8165" t="s">
        <v>2445</v>
      </c>
      <c r="E19" s="8165" t="s">
        <v>2446</v>
      </c>
      <c r="F19" s="8165" t="s">
        <v>2392</v>
      </c>
      <c r="G19" s="8165" t="s">
        <v>28</v>
      </c>
      <c r="H19" s="8165" t="s">
        <v>28</v>
      </c>
      <c r="I19" s="8165" t="s">
        <v>936</v>
      </c>
    </row>
    <row customHeight="1" ht="11.25">
      <c r="A20" s="8165" t="s">
        <v>2380</v>
      </c>
      <c r="B20" s="8165" t="s">
        <v>16</v>
      </c>
      <c r="C20" s="8165" t="s">
        <v>2447</v>
      </c>
      <c r="D20" s="8165" t="s">
        <v>2448</v>
      </c>
      <c r="E20" s="8165" t="s">
        <v>2449</v>
      </c>
      <c r="F20" s="8165" t="s">
        <v>2400</v>
      </c>
      <c r="G20" s="8165" t="s">
        <v>2450</v>
      </c>
      <c r="H20" s="8165" t="s">
        <v>28</v>
      </c>
      <c r="I20" s="8165" t="s">
        <v>936</v>
      </c>
    </row>
    <row customHeight="1" ht="11.25">
      <c r="A21" s="8165" t="s">
        <v>2380</v>
      </c>
      <c r="B21" s="8165" t="s">
        <v>16</v>
      </c>
      <c r="C21" s="8165" t="s">
        <v>2451</v>
      </c>
      <c r="D21" s="8165" t="s">
        <v>2452</v>
      </c>
      <c r="E21" s="8165" t="s">
        <v>2453</v>
      </c>
      <c r="F21" s="8165" t="s">
        <v>2454</v>
      </c>
      <c r="G21" s="8165" t="s">
        <v>2455</v>
      </c>
      <c r="H21" s="8165" t="s">
        <v>28</v>
      </c>
      <c r="I21" s="8165" t="s">
        <v>936</v>
      </c>
    </row>
    <row customHeight="1" ht="11.25">
      <c r="A22" s="8165" t="s">
        <v>2380</v>
      </c>
      <c r="B22" s="8165" t="s">
        <v>16</v>
      </c>
      <c r="C22" s="8165" t="s">
        <v>2456</v>
      </c>
      <c r="D22" s="8165" t="s">
        <v>2457</v>
      </c>
      <c r="E22" s="8165" t="s">
        <v>2458</v>
      </c>
      <c r="F22" s="8165" t="s">
        <v>2459</v>
      </c>
      <c r="G22" s="8165" t="s">
        <v>2460</v>
      </c>
      <c r="H22" s="8165" t="s">
        <v>28</v>
      </c>
      <c r="I22" s="8165" t="s">
        <v>936</v>
      </c>
    </row>
    <row customHeight="1" ht="11.25">
      <c r="A23" s="8165" t="s">
        <v>2380</v>
      </c>
      <c r="B23" s="8165" t="s">
        <v>16</v>
      </c>
      <c r="C23" s="8165" t="s">
        <v>2461</v>
      </c>
      <c r="D23" s="8165" t="s">
        <v>2462</v>
      </c>
      <c r="E23" s="8165" t="s">
        <v>2463</v>
      </c>
      <c r="F23" s="8165" t="s">
        <v>2384</v>
      </c>
      <c r="G23" s="8165" t="s">
        <v>2464</v>
      </c>
      <c r="H23" s="8165" t="s">
        <v>28</v>
      </c>
      <c r="I23" s="8165" t="s">
        <v>936</v>
      </c>
    </row>
    <row customHeight="1" ht="11.25">
      <c r="A24" s="8165" t="s">
        <v>2380</v>
      </c>
      <c r="B24" s="8165" t="s">
        <v>16</v>
      </c>
      <c r="C24" s="8165" t="s">
        <v>2465</v>
      </c>
      <c r="D24" s="8165" t="s">
        <v>2466</v>
      </c>
      <c r="E24" s="8165" t="s">
        <v>2467</v>
      </c>
      <c r="F24" s="8165" t="s">
        <v>2468</v>
      </c>
      <c r="G24" s="8165" t="s">
        <v>28</v>
      </c>
      <c r="H24" s="8165" t="s">
        <v>28</v>
      </c>
      <c r="I24" s="8165" t="s">
        <v>936</v>
      </c>
    </row>
    <row customHeight="1" ht="11.25">
      <c r="A25" s="8165" t="s">
        <v>2380</v>
      </c>
      <c r="B25" s="8165" t="s">
        <v>16</v>
      </c>
      <c r="C25" s="8165" t="s">
        <v>2469</v>
      </c>
      <c r="D25" s="8165" t="s">
        <v>2470</v>
      </c>
      <c r="E25" s="8165" t="s">
        <v>2471</v>
      </c>
      <c r="F25" s="8165" t="s">
        <v>2392</v>
      </c>
      <c r="G25" s="8165" t="s">
        <v>28</v>
      </c>
      <c r="H25" s="8165" t="s">
        <v>28</v>
      </c>
      <c r="I25" s="8165" t="s">
        <v>936</v>
      </c>
    </row>
    <row customHeight="1" ht="11.25">
      <c r="A26" s="8165" t="s">
        <v>2380</v>
      </c>
      <c r="B26" s="8165" t="s">
        <v>16</v>
      </c>
      <c r="C26" s="8165" t="s">
        <v>2472</v>
      </c>
      <c r="D26" s="8165" t="s">
        <v>2473</v>
      </c>
      <c r="E26" s="8165" t="s">
        <v>2474</v>
      </c>
      <c r="F26" s="8165" t="s">
        <v>2475</v>
      </c>
      <c r="G26" s="8165" t="s">
        <v>28</v>
      </c>
      <c r="H26" s="8165" t="s">
        <v>28</v>
      </c>
      <c r="I26" s="8165" t="s">
        <v>936</v>
      </c>
    </row>
    <row customHeight="1" ht="11.25">
      <c r="A27" s="8165" t="s">
        <v>2380</v>
      </c>
      <c r="B27" s="8165" t="s">
        <v>16</v>
      </c>
      <c r="C27" s="8165" t="s">
        <v>2476</v>
      </c>
      <c r="D27" s="8165" t="s">
        <v>2477</v>
      </c>
      <c r="E27" s="8165" t="s">
        <v>2478</v>
      </c>
      <c r="F27" s="8165" t="s">
        <v>2468</v>
      </c>
      <c r="G27" s="8165" t="s">
        <v>28</v>
      </c>
      <c r="H27" s="8165" t="s">
        <v>28</v>
      </c>
      <c r="I27" s="8165" t="s">
        <v>936</v>
      </c>
    </row>
    <row customHeight="1" ht="11.25">
      <c r="A28" s="8165" t="s">
        <v>2380</v>
      </c>
      <c r="B28" s="8165" t="s">
        <v>16</v>
      </c>
      <c r="C28" s="8165" t="s">
        <v>2479</v>
      </c>
      <c r="D28" s="8165" t="s">
        <v>2480</v>
      </c>
      <c r="E28" s="8165" t="s">
        <v>2481</v>
      </c>
      <c r="F28" s="8165" t="s">
        <v>2459</v>
      </c>
      <c r="G28" s="8165" t="s">
        <v>28</v>
      </c>
      <c r="H28" s="8165" t="s">
        <v>28</v>
      </c>
      <c r="I28" s="8165" t="s">
        <v>936</v>
      </c>
    </row>
    <row customHeight="1" ht="11.25">
      <c r="A29" s="8165" t="s">
        <v>2380</v>
      </c>
      <c r="B29" s="8165" t="s">
        <v>16</v>
      </c>
      <c r="C29" s="8165" t="s">
        <v>2482</v>
      </c>
      <c r="D29" s="8165" t="s">
        <v>2483</v>
      </c>
      <c r="E29" s="8165" t="s">
        <v>2484</v>
      </c>
      <c r="F29" s="8165" t="s">
        <v>2475</v>
      </c>
      <c r="G29" s="8165" t="s">
        <v>28</v>
      </c>
      <c r="H29" s="8165" t="s">
        <v>28</v>
      </c>
      <c r="I29" s="8165" t="s">
        <v>936</v>
      </c>
    </row>
    <row customHeight="1" ht="11.25">
      <c r="A30" s="8165" t="s">
        <v>2380</v>
      </c>
      <c r="B30" s="8165" t="s">
        <v>16</v>
      </c>
      <c r="C30" s="8165" t="s">
        <v>2485</v>
      </c>
      <c r="D30" s="8165" t="s">
        <v>2486</v>
      </c>
      <c r="E30" s="8165" t="s">
        <v>2487</v>
      </c>
      <c r="F30" s="8165" t="s">
        <v>2488</v>
      </c>
      <c r="G30" s="8165" t="s">
        <v>2489</v>
      </c>
      <c r="H30" s="8165" t="s">
        <v>28</v>
      </c>
      <c r="I30" s="8165" t="s">
        <v>936</v>
      </c>
    </row>
    <row customHeight="1" ht="11.25">
      <c r="A31" s="8165" t="s">
        <v>2380</v>
      </c>
      <c r="B31" s="8165" t="s">
        <v>16</v>
      </c>
      <c r="C31" s="8165" t="s">
        <v>2490</v>
      </c>
      <c r="D31" s="8165" t="s">
        <v>2491</v>
      </c>
      <c r="E31" s="8165" t="s">
        <v>2492</v>
      </c>
      <c r="F31" s="8165" t="s">
        <v>2493</v>
      </c>
      <c r="G31" s="8165" t="s">
        <v>2494</v>
      </c>
      <c r="H31" s="8165" t="s">
        <v>28</v>
      </c>
      <c r="I31" s="8165" t="s">
        <v>936</v>
      </c>
    </row>
    <row customHeight="1" ht="11.25">
      <c r="A32" s="8165" t="s">
        <v>2380</v>
      </c>
      <c r="B32" s="8165" t="s">
        <v>16</v>
      </c>
      <c r="C32" s="8165" t="s">
        <v>2495</v>
      </c>
      <c r="D32" s="8165" t="s">
        <v>2496</v>
      </c>
      <c r="E32" s="8165" t="s">
        <v>2497</v>
      </c>
      <c r="F32" s="8165" t="s">
        <v>2488</v>
      </c>
      <c r="G32" s="8165" t="s">
        <v>2498</v>
      </c>
      <c r="H32" s="8165" t="s">
        <v>28</v>
      </c>
      <c r="I32" s="8165" t="s">
        <v>936</v>
      </c>
    </row>
    <row customHeight="1" ht="11.25">
      <c r="A33" s="8165" t="s">
        <v>2380</v>
      </c>
      <c r="B33" s="8165" t="s">
        <v>16</v>
      </c>
      <c r="C33" s="8165" t="s">
        <v>13</v>
      </c>
      <c r="D33" s="8165" t="s">
        <v>47</v>
      </c>
      <c r="E33" s="8165" t="s">
        <v>50</v>
      </c>
      <c r="F33" s="8165" t="s">
        <v>52</v>
      </c>
      <c r="G33" s="8165" t="s">
        <v>28</v>
      </c>
      <c r="H33" s="8165" t="s">
        <v>28</v>
      </c>
      <c r="I33" s="8165" t="s">
        <v>936</v>
      </c>
    </row>
    <row customHeight="1" ht="11.25">
      <c r="A34" s="8165" t="s">
        <v>2380</v>
      </c>
      <c r="B34" s="8165" t="s">
        <v>16</v>
      </c>
      <c r="C34" s="8165" t="s">
        <v>2499</v>
      </c>
      <c r="D34" s="8165" t="s">
        <v>2500</v>
      </c>
      <c r="E34" s="8165" t="s">
        <v>2501</v>
      </c>
      <c r="F34" s="8165" t="s">
        <v>2502</v>
      </c>
      <c r="G34" s="8165" t="s">
        <v>28</v>
      </c>
      <c r="H34" s="8165" t="s">
        <v>28</v>
      </c>
      <c r="I34" s="8165" t="s">
        <v>936</v>
      </c>
    </row>
    <row customHeight="1" ht="11.25">
      <c r="A35" s="8165" t="s">
        <v>2380</v>
      </c>
      <c r="B35" s="8165" t="s">
        <v>16</v>
      </c>
      <c r="C35" s="8165" t="s">
        <v>2503</v>
      </c>
      <c r="D35" s="8165" t="s">
        <v>2504</v>
      </c>
      <c r="E35" s="8165" t="s">
        <v>2505</v>
      </c>
      <c r="F35" s="8165" t="s">
        <v>2506</v>
      </c>
      <c r="G35" s="8165" t="s">
        <v>28</v>
      </c>
      <c r="H35" s="8165" t="s">
        <v>28</v>
      </c>
      <c r="I35" s="8165" t="s">
        <v>936</v>
      </c>
    </row>
    <row customHeight="1" ht="11.25">
      <c r="A36" s="8165" t="s">
        <v>2380</v>
      </c>
      <c r="B36" s="8165" t="s">
        <v>16</v>
      </c>
      <c r="C36" s="8165" t="s">
        <v>2507</v>
      </c>
      <c r="D36" s="8165" t="s">
        <v>2508</v>
      </c>
      <c r="E36" s="8165" t="s">
        <v>2509</v>
      </c>
      <c r="F36" s="8165" t="s">
        <v>2510</v>
      </c>
      <c r="G36" s="8165" t="s">
        <v>28</v>
      </c>
      <c r="H36" s="8165" t="s">
        <v>28</v>
      </c>
      <c r="I36" s="8165" t="s">
        <v>936</v>
      </c>
    </row>
    <row customHeight="1" ht="11.25">
      <c r="A37" s="8165" t="s">
        <v>2380</v>
      </c>
      <c r="B37" s="8165" t="s">
        <v>16</v>
      </c>
      <c r="C37" s="8165" t="s">
        <v>2511</v>
      </c>
      <c r="D37" s="8165" t="s">
        <v>2512</v>
      </c>
      <c r="E37" s="8165" t="s">
        <v>2513</v>
      </c>
      <c r="F37" s="8165" t="s">
        <v>2392</v>
      </c>
      <c r="G37" s="8165" t="s">
        <v>28</v>
      </c>
      <c r="H37" s="8165" t="s">
        <v>28</v>
      </c>
      <c r="I37" s="8165" t="s">
        <v>936</v>
      </c>
    </row>
    <row customHeight="1" ht="11.25">
      <c r="A38" s="8165" t="s">
        <v>2380</v>
      </c>
      <c r="B38" s="8165" t="s">
        <v>16</v>
      </c>
      <c r="C38" s="8165" t="s">
        <v>2514</v>
      </c>
      <c r="D38" s="8165" t="s">
        <v>2515</v>
      </c>
      <c r="E38" s="8165" t="s">
        <v>2427</v>
      </c>
      <c r="F38" s="8165" t="s">
        <v>2510</v>
      </c>
      <c r="G38" s="8165" t="s">
        <v>28</v>
      </c>
      <c r="H38" s="8165" t="s">
        <v>28</v>
      </c>
      <c r="I38" s="8165" t="s">
        <v>936</v>
      </c>
    </row>
    <row customHeight="1" ht="11.25">
      <c r="A39" s="8165" t="s">
        <v>2380</v>
      </c>
      <c r="B39" s="8165" t="s">
        <v>16</v>
      </c>
      <c r="C39" s="8165" t="s">
        <v>2516</v>
      </c>
      <c r="D39" s="8165" t="s">
        <v>2517</v>
      </c>
      <c r="E39" s="8165" t="s">
        <v>2518</v>
      </c>
      <c r="F39" s="8165" t="s">
        <v>2475</v>
      </c>
      <c r="G39" s="8165" t="s">
        <v>28</v>
      </c>
      <c r="H39" s="8165" t="s">
        <v>28</v>
      </c>
      <c r="I39" s="8165" t="s">
        <v>936</v>
      </c>
    </row>
    <row customHeight="1" ht="11.25">
      <c r="A40" s="8165" t="s">
        <v>2380</v>
      </c>
      <c r="B40" s="8165" t="s">
        <v>16</v>
      </c>
      <c r="C40" s="8165" t="s">
        <v>2519</v>
      </c>
      <c r="D40" s="8165" t="s">
        <v>2520</v>
      </c>
      <c r="E40" s="8165" t="s">
        <v>2521</v>
      </c>
      <c r="F40" s="8165" t="s">
        <v>2384</v>
      </c>
      <c r="G40" s="8165" t="s">
        <v>28</v>
      </c>
      <c r="H40" s="8165" t="s">
        <v>28</v>
      </c>
      <c r="I40" s="8165" t="s">
        <v>936</v>
      </c>
    </row>
    <row customHeight="1" ht="11.25">
      <c r="A41" s="8165" t="s">
        <v>2380</v>
      </c>
      <c r="B41" s="8165" t="s">
        <v>16</v>
      </c>
      <c r="C41" s="8165" t="s">
        <v>2522</v>
      </c>
      <c r="D41" s="8165" t="s">
        <v>2523</v>
      </c>
      <c r="E41" s="8165" t="s">
        <v>2524</v>
      </c>
      <c r="F41" s="8165" t="s">
        <v>2525</v>
      </c>
      <c r="G41" s="8165" t="s">
        <v>2526</v>
      </c>
      <c r="H41" s="8165" t="s">
        <v>28</v>
      </c>
      <c r="I41" s="8165" t="s">
        <v>936</v>
      </c>
    </row>
    <row customHeight="1" ht="11.25">
      <c r="A42" s="8165" t="s">
        <v>2380</v>
      </c>
      <c r="B42" s="8165" t="s">
        <v>16</v>
      </c>
      <c r="C42" s="8165" t="s">
        <v>2527</v>
      </c>
      <c r="D42" s="8165" t="s">
        <v>2528</v>
      </c>
      <c r="E42" s="8165" t="s">
        <v>2529</v>
      </c>
      <c r="F42" s="8165" t="s">
        <v>2530</v>
      </c>
      <c r="G42" s="8165" t="s">
        <v>28</v>
      </c>
      <c r="H42" s="8165" t="s">
        <v>28</v>
      </c>
      <c r="I42" s="8165" t="s">
        <v>936</v>
      </c>
    </row>
    <row customHeight="1" ht="11.25">
      <c r="A43" s="8165" t="s">
        <v>2380</v>
      </c>
      <c r="B43" s="8165" t="s">
        <v>16</v>
      </c>
      <c r="C43" s="8165" t="s">
        <v>2531</v>
      </c>
      <c r="D43" s="8165" t="s">
        <v>2532</v>
      </c>
      <c r="E43" s="8165" t="s">
        <v>2533</v>
      </c>
      <c r="F43" s="8165" t="s">
        <v>2475</v>
      </c>
      <c r="G43" s="8165" t="s">
        <v>28</v>
      </c>
      <c r="H43" s="8165" t="s">
        <v>28</v>
      </c>
      <c r="I43" s="8165" t="s">
        <v>936</v>
      </c>
    </row>
    <row customHeight="1" ht="11.25">
      <c r="A44" s="8165" t="s">
        <v>2380</v>
      </c>
      <c r="B44" s="8165" t="s">
        <v>16</v>
      </c>
      <c r="C44" s="8165" t="s">
        <v>2534</v>
      </c>
      <c r="D44" s="8165" t="s">
        <v>2535</v>
      </c>
      <c r="E44" s="8165" t="s">
        <v>2536</v>
      </c>
      <c r="F44" s="8165" t="s">
        <v>2537</v>
      </c>
      <c r="G44" s="8165" t="s">
        <v>28</v>
      </c>
      <c r="H44" s="8165" t="s">
        <v>28</v>
      </c>
      <c r="I44" s="8165" t="s">
        <v>936</v>
      </c>
    </row>
    <row customHeight="1" ht="11.25">
      <c r="A45" s="8165" t="s">
        <v>2380</v>
      </c>
      <c r="B45" s="8165" t="s">
        <v>16</v>
      </c>
      <c r="C45" s="8165" t="s">
        <v>2538</v>
      </c>
      <c r="D45" s="8165" t="s">
        <v>2539</v>
      </c>
      <c r="E45" s="8165" t="s">
        <v>2540</v>
      </c>
      <c r="F45" s="8165" t="s">
        <v>2475</v>
      </c>
      <c r="G45" s="8165" t="s">
        <v>28</v>
      </c>
      <c r="H45" s="8165" t="s">
        <v>28</v>
      </c>
      <c r="I45" s="8165" t="s">
        <v>936</v>
      </c>
    </row>
    <row customHeight="1" ht="11.25">
      <c r="A46" s="8165" t="s">
        <v>2380</v>
      </c>
      <c r="B46" s="8165" t="s">
        <v>16</v>
      </c>
      <c r="C46" s="8165" t="s">
        <v>2541</v>
      </c>
      <c r="D46" s="8165" t="s">
        <v>2542</v>
      </c>
      <c r="E46" s="8165" t="s">
        <v>2543</v>
      </c>
      <c r="F46" s="8165" t="s">
        <v>2475</v>
      </c>
      <c r="G46" s="8165" t="s">
        <v>2544</v>
      </c>
      <c r="H46" s="8165" t="s">
        <v>28</v>
      </c>
      <c r="I46" s="8165" t="s">
        <v>936</v>
      </c>
    </row>
    <row customHeight="1" ht="11.25">
      <c r="A47" s="8165" t="s">
        <v>2380</v>
      </c>
      <c r="B47" s="8165" t="s">
        <v>16</v>
      </c>
      <c r="C47" s="8165" t="s">
        <v>2545</v>
      </c>
      <c r="D47" s="8165" t="s">
        <v>2546</v>
      </c>
      <c r="E47" s="8165" t="s">
        <v>2547</v>
      </c>
      <c r="F47" s="8165" t="s">
        <v>2488</v>
      </c>
      <c r="G47" s="8165" t="s">
        <v>28</v>
      </c>
      <c r="H47" s="8165" t="s">
        <v>28</v>
      </c>
      <c r="I47" s="8165" t="s">
        <v>936</v>
      </c>
    </row>
    <row customHeight="1" ht="11.25">
      <c r="A48" s="8165" t="s">
        <v>2380</v>
      </c>
      <c r="B48" s="8165" t="s">
        <v>16</v>
      </c>
      <c r="C48" s="8165" t="s">
        <v>2548</v>
      </c>
      <c r="D48" s="8165" t="s">
        <v>2549</v>
      </c>
      <c r="E48" s="8165" t="s">
        <v>2550</v>
      </c>
      <c r="F48" s="8165" t="s">
        <v>2475</v>
      </c>
      <c r="G48" s="8165" t="s">
        <v>28</v>
      </c>
      <c r="H48" s="8165" t="s">
        <v>28</v>
      </c>
      <c r="I48" s="8165" t="s">
        <v>936</v>
      </c>
    </row>
    <row customHeight="1" ht="11.25">
      <c r="A49" s="8165" t="s">
        <v>2380</v>
      </c>
      <c r="B49" s="8165" t="s">
        <v>16</v>
      </c>
      <c r="C49" s="8165" t="s">
        <v>2551</v>
      </c>
      <c r="D49" s="8165" t="s">
        <v>2552</v>
      </c>
      <c r="E49" s="8165" t="s">
        <v>2553</v>
      </c>
      <c r="F49" s="8165" t="s">
        <v>2554</v>
      </c>
      <c r="G49" s="8165" t="s">
        <v>28</v>
      </c>
      <c r="H49" s="8165" t="s">
        <v>28</v>
      </c>
      <c r="I49" s="8165" t="s">
        <v>936</v>
      </c>
    </row>
    <row customHeight="1" ht="11.25">
      <c r="A50" s="8165" t="s">
        <v>2380</v>
      </c>
      <c r="B50" s="8165" t="s">
        <v>16</v>
      </c>
      <c r="C50" s="8165" t="s">
        <v>2555</v>
      </c>
      <c r="D50" s="8165" t="s">
        <v>2556</v>
      </c>
      <c r="E50" s="8165" t="s">
        <v>2557</v>
      </c>
      <c r="F50" s="8165" t="s">
        <v>2475</v>
      </c>
      <c r="G50" s="8165" t="s">
        <v>28</v>
      </c>
      <c r="H50" s="8165" t="s">
        <v>28</v>
      </c>
      <c r="I50" s="8165" t="s">
        <v>936</v>
      </c>
    </row>
    <row customHeight="1" ht="11.25">
      <c r="A51" s="8165" t="s">
        <v>2380</v>
      </c>
      <c r="B51" s="8165" t="s">
        <v>16</v>
      </c>
      <c r="C51" s="8165" t="s">
        <v>2558</v>
      </c>
      <c r="D51" s="8165" t="s">
        <v>2559</v>
      </c>
      <c r="E51" s="8165" t="s">
        <v>2560</v>
      </c>
      <c r="F51" s="8165" t="s">
        <v>2561</v>
      </c>
      <c r="G51" s="8165" t="s">
        <v>2562</v>
      </c>
      <c r="H51" s="8165" t="s">
        <v>28</v>
      </c>
      <c r="I51" s="8165" t="s">
        <v>936</v>
      </c>
    </row>
    <row customHeight="1" ht="11.25">
      <c r="A52" s="8165" t="s">
        <v>2380</v>
      </c>
      <c r="B52" s="8165" t="s">
        <v>16</v>
      </c>
      <c r="C52" s="8165" t="s">
        <v>2563</v>
      </c>
      <c r="D52" s="8165" t="s">
        <v>2564</v>
      </c>
      <c r="E52" s="8165" t="s">
        <v>2565</v>
      </c>
      <c r="F52" s="8165" t="s">
        <v>2392</v>
      </c>
      <c r="G52" s="8165" t="s">
        <v>28</v>
      </c>
      <c r="H52" s="8165" t="s">
        <v>28</v>
      </c>
      <c r="I52" s="8165" t="s">
        <v>936</v>
      </c>
    </row>
    <row customHeight="1" ht="11.25">
      <c r="A53" s="8165" t="s">
        <v>2380</v>
      </c>
      <c r="B53" s="8165" t="s">
        <v>16</v>
      </c>
      <c r="C53" s="8165" t="s">
        <v>2566</v>
      </c>
      <c r="D53" s="8165" t="s">
        <v>2567</v>
      </c>
      <c r="E53" s="8165" t="s">
        <v>2568</v>
      </c>
      <c r="F53" s="8165" t="s">
        <v>2392</v>
      </c>
      <c r="G53" s="8165" t="s">
        <v>28</v>
      </c>
      <c r="H53" s="8165" t="s">
        <v>28</v>
      </c>
      <c r="I53" s="8165" t="s">
        <v>936</v>
      </c>
    </row>
    <row customHeight="1" ht="11.25">
      <c r="A54" s="8165" t="s">
        <v>2380</v>
      </c>
      <c r="B54" s="8165" t="s">
        <v>16</v>
      </c>
      <c r="C54" s="8165" t="s">
        <v>2569</v>
      </c>
      <c r="D54" s="8165" t="s">
        <v>2570</v>
      </c>
      <c r="E54" s="8165" t="s">
        <v>2571</v>
      </c>
      <c r="F54" s="8165" t="s">
        <v>2572</v>
      </c>
      <c r="G54" s="8165" t="s">
        <v>28</v>
      </c>
      <c r="H54" s="8165" t="s">
        <v>28</v>
      </c>
      <c r="I54" s="8165" t="s">
        <v>936</v>
      </c>
    </row>
    <row customHeight="1" ht="11.25">
      <c r="A55" s="8165" t="s">
        <v>2380</v>
      </c>
      <c r="B55" s="8165" t="s">
        <v>16</v>
      </c>
      <c r="C55" s="8165" t="s">
        <v>2573</v>
      </c>
      <c r="D55" s="8165" t="s">
        <v>2574</v>
      </c>
      <c r="E55" s="8165" t="s">
        <v>2575</v>
      </c>
      <c r="F55" s="8165" t="s">
        <v>2576</v>
      </c>
      <c r="G55" s="8165" t="s">
        <v>2577</v>
      </c>
      <c r="H55" s="8165" t="s">
        <v>28</v>
      </c>
      <c r="I55" s="8165" t="s">
        <v>936</v>
      </c>
    </row>
    <row customHeight="1" ht="11.25">
      <c r="A56" s="8165" t="s">
        <v>2380</v>
      </c>
      <c r="B56" s="8165" t="s">
        <v>16</v>
      </c>
      <c r="C56" s="8165" t="s">
        <v>2578</v>
      </c>
      <c r="D56" s="8165" t="s">
        <v>2579</v>
      </c>
      <c r="E56" s="8165" t="s">
        <v>2580</v>
      </c>
      <c r="F56" s="8165" t="s">
        <v>2392</v>
      </c>
      <c r="G56" s="8165" t="s">
        <v>2581</v>
      </c>
      <c r="H56" s="8165" t="s">
        <v>28</v>
      </c>
      <c r="I56" s="8165" t="s">
        <v>936</v>
      </c>
    </row>
    <row customHeight="1" ht="11.25">
      <c r="A57" s="8165" t="s">
        <v>2380</v>
      </c>
      <c r="B57" s="8165" t="s">
        <v>16</v>
      </c>
      <c r="C57" s="8165" t="s">
        <v>2582</v>
      </c>
      <c r="D57" s="8165" t="s">
        <v>2583</v>
      </c>
      <c r="E57" s="8165" t="s">
        <v>2584</v>
      </c>
      <c r="F57" s="8165" t="s">
        <v>52</v>
      </c>
      <c r="G57" s="8165" t="s">
        <v>28</v>
      </c>
      <c r="H57" s="8165" t="s">
        <v>28</v>
      </c>
      <c r="I57" s="8165" t="s">
        <v>936</v>
      </c>
    </row>
    <row customHeight="1" ht="11.25">
      <c r="A58" s="8165" t="s">
        <v>2380</v>
      </c>
      <c r="B58" s="8165" t="s">
        <v>16</v>
      </c>
      <c r="C58" s="8165" t="s">
        <v>2585</v>
      </c>
      <c r="D58" s="8165" t="s">
        <v>2586</v>
      </c>
      <c r="E58" s="8165" t="s">
        <v>2587</v>
      </c>
      <c r="F58" s="8165" t="s">
        <v>52</v>
      </c>
      <c r="G58" s="8165" t="s">
        <v>2588</v>
      </c>
      <c r="H58" s="8165" t="s">
        <v>28</v>
      </c>
      <c r="I58" s="8165" t="s">
        <v>936</v>
      </c>
    </row>
    <row customHeight="1" ht="11.25">
      <c r="A59" s="8165" t="s">
        <v>2380</v>
      </c>
      <c r="B59" s="8165" t="s">
        <v>16</v>
      </c>
      <c r="C59" s="8165" t="s">
        <v>2589</v>
      </c>
      <c r="D59" s="8165" t="s">
        <v>2590</v>
      </c>
      <c r="E59" s="8165" t="s">
        <v>2591</v>
      </c>
      <c r="F59" s="8165" t="s">
        <v>2592</v>
      </c>
      <c r="G59" s="8165" t="s">
        <v>28</v>
      </c>
      <c r="H59" s="8165" t="s">
        <v>28</v>
      </c>
      <c r="I59" s="8165" t="s">
        <v>936</v>
      </c>
    </row>
    <row customHeight="1" ht="11.25">
      <c r="A60" s="8165" t="s">
        <v>2380</v>
      </c>
      <c r="B60" s="8165" t="s">
        <v>16</v>
      </c>
      <c r="C60" s="8165" t="s">
        <v>2593</v>
      </c>
      <c r="D60" s="8165" t="s">
        <v>2594</v>
      </c>
      <c r="E60" s="8165" t="s">
        <v>2595</v>
      </c>
      <c r="F60" s="8165" t="s">
        <v>2592</v>
      </c>
      <c r="G60" s="8165" t="s">
        <v>2596</v>
      </c>
      <c r="H60" s="8165" t="s">
        <v>28</v>
      </c>
      <c r="I60" s="8165" t="s">
        <v>936</v>
      </c>
    </row>
    <row customHeight="1" ht="11.25">
      <c r="A61" s="8165" t="s">
        <v>2380</v>
      </c>
      <c r="B61" s="8165" t="s">
        <v>16</v>
      </c>
      <c r="C61" s="8165" t="s">
        <v>2597</v>
      </c>
      <c r="D61" s="8165" t="s">
        <v>2598</v>
      </c>
      <c r="E61" s="8165" t="s">
        <v>2599</v>
      </c>
      <c r="F61" s="8165" t="s">
        <v>2454</v>
      </c>
      <c r="G61" s="8165" t="s">
        <v>28</v>
      </c>
      <c r="H61" s="8165" t="s">
        <v>28</v>
      </c>
      <c r="I61" s="8165" t="s">
        <v>936</v>
      </c>
    </row>
    <row customHeight="1" ht="11.25">
      <c r="A62" s="8165" t="s">
        <v>2380</v>
      </c>
      <c r="B62" s="8165" t="s">
        <v>16</v>
      </c>
      <c r="C62" s="8165" t="s">
        <v>2600</v>
      </c>
      <c r="D62" s="8165" t="s">
        <v>2601</v>
      </c>
      <c r="E62" s="8165" t="s">
        <v>2602</v>
      </c>
      <c r="F62" s="8165" t="s">
        <v>2392</v>
      </c>
      <c r="G62" s="8165" t="s">
        <v>28</v>
      </c>
      <c r="H62" s="8165" t="s">
        <v>28</v>
      </c>
      <c r="I62" s="8165" t="s">
        <v>936</v>
      </c>
    </row>
    <row customHeight="1" ht="11.25">
      <c r="A63" s="8165" t="s">
        <v>2380</v>
      </c>
      <c r="B63" s="8165" t="s">
        <v>16</v>
      </c>
      <c r="C63" s="8165" t="s">
        <v>2603</v>
      </c>
      <c r="D63" s="8165" t="s">
        <v>2604</v>
      </c>
      <c r="E63" s="8165" t="s">
        <v>2605</v>
      </c>
      <c r="F63" s="8165" t="s">
        <v>2384</v>
      </c>
      <c r="G63" s="8165" t="s">
        <v>28</v>
      </c>
      <c r="H63" s="8165" t="s">
        <v>28</v>
      </c>
      <c r="I63" s="8165" t="s">
        <v>936</v>
      </c>
    </row>
    <row customHeight="1" ht="11.25">
      <c r="A64" s="8165" t="s">
        <v>2380</v>
      </c>
      <c r="B64" s="8165" t="s">
        <v>16</v>
      </c>
      <c r="C64" s="8165" t="s">
        <v>2606</v>
      </c>
      <c r="D64" s="8165" t="s">
        <v>2607</v>
      </c>
      <c r="E64" s="8165" t="s">
        <v>2608</v>
      </c>
      <c r="F64" s="8165" t="s">
        <v>2609</v>
      </c>
      <c r="G64" s="8165" t="s">
        <v>28</v>
      </c>
      <c r="H64" s="8165" t="s">
        <v>28</v>
      </c>
      <c r="I64" s="8165" t="s">
        <v>936</v>
      </c>
    </row>
    <row customHeight="1" ht="11.25">
      <c r="A65" s="8165" t="s">
        <v>2380</v>
      </c>
      <c r="B65" s="8165" t="s">
        <v>16</v>
      </c>
      <c r="C65" s="8165" t="s">
        <v>2610</v>
      </c>
      <c r="D65" s="8165" t="s">
        <v>2611</v>
      </c>
      <c r="E65" s="8165" t="s">
        <v>2612</v>
      </c>
      <c r="F65" s="8165" t="s">
        <v>2613</v>
      </c>
      <c r="G65" s="8165" t="s">
        <v>28</v>
      </c>
      <c r="H65" s="8165" t="s">
        <v>28</v>
      </c>
      <c r="I65" s="8165" t="s">
        <v>936</v>
      </c>
    </row>
    <row customHeight="1" ht="11.25">
      <c r="A66" s="8165" t="s">
        <v>2380</v>
      </c>
      <c r="B66" s="8165" t="s">
        <v>16</v>
      </c>
      <c r="C66" s="8165" t="s">
        <v>2614</v>
      </c>
      <c r="D66" s="8165" t="s">
        <v>2615</v>
      </c>
      <c r="E66" s="8165" t="s">
        <v>2616</v>
      </c>
      <c r="F66" s="8165" t="s">
        <v>2392</v>
      </c>
      <c r="G66" s="8165" t="s">
        <v>28</v>
      </c>
      <c r="H66" s="8165" t="s">
        <v>28</v>
      </c>
      <c r="I66" s="8165" t="s">
        <v>936</v>
      </c>
    </row>
    <row customHeight="1" ht="11.25">
      <c r="A67" s="8165" t="s">
        <v>2380</v>
      </c>
      <c r="B67" s="8165" t="s">
        <v>16</v>
      </c>
      <c r="C67" s="8165" t="s">
        <v>2617</v>
      </c>
      <c r="D67" s="8165" t="s">
        <v>2618</v>
      </c>
      <c r="E67" s="8165" t="s">
        <v>2619</v>
      </c>
      <c r="F67" s="8165" t="s">
        <v>2392</v>
      </c>
      <c r="G67" s="8165" t="s">
        <v>28</v>
      </c>
      <c r="H67" s="8165" t="s">
        <v>28</v>
      </c>
      <c r="I67" s="8165" t="s">
        <v>936</v>
      </c>
    </row>
    <row customHeight="1" ht="11.25">
      <c r="A68" s="8165" t="s">
        <v>2380</v>
      </c>
      <c r="B68" s="8165" t="s">
        <v>16</v>
      </c>
      <c r="C68" s="8165" t="s">
        <v>2620</v>
      </c>
      <c r="D68" s="8165" t="s">
        <v>2621</v>
      </c>
      <c r="E68" s="8165" t="s">
        <v>2622</v>
      </c>
      <c r="F68" s="8165" t="s">
        <v>2623</v>
      </c>
      <c r="G68" s="8165" t="s">
        <v>28</v>
      </c>
      <c r="H68" s="8165" t="s">
        <v>28</v>
      </c>
      <c r="I68" s="8165" t="s">
        <v>936</v>
      </c>
    </row>
    <row customHeight="1" ht="11.25">
      <c r="A69" s="8165" t="s">
        <v>2380</v>
      </c>
      <c r="B69" s="8165" t="s">
        <v>16</v>
      </c>
      <c r="C69" s="8165" t="s">
        <v>2624</v>
      </c>
      <c r="D69" s="8165" t="s">
        <v>2625</v>
      </c>
      <c r="E69" s="8165" t="s">
        <v>2626</v>
      </c>
      <c r="F69" s="8165" t="s">
        <v>2592</v>
      </c>
      <c r="G69" s="8165" t="s">
        <v>28</v>
      </c>
      <c r="H69" s="8165" t="s">
        <v>28</v>
      </c>
      <c r="I69" s="8165" t="s">
        <v>936</v>
      </c>
    </row>
    <row customHeight="1" ht="11.25">
      <c r="A70" s="8165" t="s">
        <v>2380</v>
      </c>
      <c r="B70" s="8165" t="s">
        <v>16</v>
      </c>
      <c r="C70" s="8165" t="s">
        <v>2627</v>
      </c>
      <c r="D70" s="8165" t="s">
        <v>2628</v>
      </c>
      <c r="E70" s="8165" t="s">
        <v>2629</v>
      </c>
      <c r="F70" s="8165" t="s">
        <v>2392</v>
      </c>
      <c r="G70" s="8165" t="s">
        <v>28</v>
      </c>
      <c r="H70" s="8165" t="s">
        <v>28</v>
      </c>
      <c r="I70" s="8165" t="s">
        <v>936</v>
      </c>
    </row>
    <row customHeight="1" ht="11.25">
      <c r="A71" s="8165" t="s">
        <v>2380</v>
      </c>
      <c r="B71" s="8165" t="s">
        <v>16</v>
      </c>
      <c r="C71" s="8165" t="s">
        <v>2630</v>
      </c>
      <c r="D71" s="8165" t="s">
        <v>2631</v>
      </c>
      <c r="E71" s="8165" t="s">
        <v>2632</v>
      </c>
      <c r="F71" s="8165" t="s">
        <v>2633</v>
      </c>
      <c r="G71" s="8165" t="s">
        <v>28</v>
      </c>
      <c r="H71" s="8165" t="s">
        <v>28</v>
      </c>
      <c r="I71" s="8165" t="s">
        <v>936</v>
      </c>
    </row>
    <row customHeight="1" ht="11.25">
      <c r="A72" s="8165" t="s">
        <v>2380</v>
      </c>
      <c r="B72" s="8165" t="s">
        <v>16</v>
      </c>
      <c r="C72" s="8165" t="s">
        <v>2634</v>
      </c>
      <c r="D72" s="8165" t="s">
        <v>2635</v>
      </c>
      <c r="E72" s="8165" t="s">
        <v>2636</v>
      </c>
      <c r="F72" s="8165" t="s">
        <v>2637</v>
      </c>
      <c r="G72" s="8165" t="s">
        <v>28</v>
      </c>
      <c r="H72" s="8165" t="s">
        <v>28</v>
      </c>
      <c r="I72" s="8165" t="s">
        <v>936</v>
      </c>
    </row>
    <row customHeight="1" ht="11.25">
      <c r="A73" s="8165" t="s">
        <v>2380</v>
      </c>
      <c r="B73" s="8165" t="s">
        <v>16</v>
      </c>
      <c r="C73" s="8165" t="s">
        <v>2638</v>
      </c>
      <c r="D73" s="8165" t="s">
        <v>2639</v>
      </c>
      <c r="E73" s="8165" t="s">
        <v>2640</v>
      </c>
      <c r="F73" s="8165" t="s">
        <v>2641</v>
      </c>
      <c r="G73" s="8165" t="s">
        <v>2642</v>
      </c>
      <c r="H73" s="8165" t="s">
        <v>28</v>
      </c>
      <c r="I73" s="8165" t="s">
        <v>936</v>
      </c>
    </row>
    <row customHeight="1" ht="11.25">
      <c r="A74" s="8165" t="s">
        <v>2380</v>
      </c>
      <c r="B74" s="8165" t="s">
        <v>16</v>
      </c>
      <c r="C74" s="8165" t="s">
        <v>2643</v>
      </c>
      <c r="D74" s="8165" t="s">
        <v>2644</v>
      </c>
      <c r="E74" s="8165" t="s">
        <v>2396</v>
      </c>
      <c r="F74" s="8165" t="s">
        <v>2645</v>
      </c>
      <c r="G74" s="8165" t="s">
        <v>28</v>
      </c>
      <c r="H74" s="8165" t="s">
        <v>28</v>
      </c>
      <c r="I74" s="8165" t="s">
        <v>936</v>
      </c>
    </row>
    <row customHeight="1" ht="11.25">
      <c r="A75" s="8165" t="s">
        <v>2380</v>
      </c>
      <c r="B75" s="8165" t="s">
        <v>16</v>
      </c>
      <c r="C75" s="8165" t="s">
        <v>2646</v>
      </c>
      <c r="D75" s="8165" t="s">
        <v>2647</v>
      </c>
      <c r="E75" s="8165" t="s">
        <v>2411</v>
      </c>
      <c r="F75" s="8165" t="s">
        <v>2475</v>
      </c>
      <c r="G75" s="8165" t="s">
        <v>28</v>
      </c>
      <c r="H75" s="8165" t="s">
        <v>28</v>
      </c>
      <c r="I75" s="8165" t="s">
        <v>936</v>
      </c>
    </row>
    <row customHeight="1" ht="11.25">
      <c r="A76" s="8165" t="s">
        <v>2380</v>
      </c>
      <c r="B76" s="8165" t="s">
        <v>16</v>
      </c>
      <c r="C76" s="8165" t="s">
        <v>2648</v>
      </c>
      <c r="D76" s="8165" t="s">
        <v>2649</v>
      </c>
      <c r="E76" s="8165" t="s">
        <v>2650</v>
      </c>
      <c r="F76" s="8165" t="s">
        <v>2576</v>
      </c>
      <c r="G76" s="8165" t="s">
        <v>28</v>
      </c>
      <c r="H76" s="8165" t="s">
        <v>28</v>
      </c>
      <c r="I76" s="8165" t="s">
        <v>936</v>
      </c>
    </row>
    <row customHeight="1" ht="11.25">
      <c r="A77" s="8165" t="s">
        <v>2380</v>
      </c>
      <c r="B77" s="8165" t="s">
        <v>16</v>
      </c>
      <c r="C77" s="8165" t="s">
        <v>2651</v>
      </c>
      <c r="D77" s="8165" t="s">
        <v>2652</v>
      </c>
      <c r="E77" s="8165" t="s">
        <v>2653</v>
      </c>
      <c r="F77" s="8165" t="s">
        <v>2576</v>
      </c>
      <c r="G77" s="8165" t="s">
        <v>28</v>
      </c>
      <c r="H77" s="8165" t="s">
        <v>28</v>
      </c>
      <c r="I77" s="8165" t="s">
        <v>936</v>
      </c>
    </row>
    <row customHeight="1" ht="11.25">
      <c r="A78" s="8165" t="s">
        <v>2380</v>
      </c>
      <c r="B78" s="8165" t="s">
        <v>16</v>
      </c>
      <c r="C78" s="8165" t="s">
        <v>2654</v>
      </c>
      <c r="D78" s="8165" t="s">
        <v>2655</v>
      </c>
      <c r="E78" s="8165" t="s">
        <v>2434</v>
      </c>
      <c r="F78" s="8165" t="s">
        <v>2656</v>
      </c>
      <c r="G78" s="8165" t="s">
        <v>28</v>
      </c>
      <c r="H78" s="8165" t="s">
        <v>28</v>
      </c>
      <c r="I78" s="8165" t="s">
        <v>936</v>
      </c>
    </row>
    <row customHeight="1" ht="11.25">
      <c r="A79" s="8165" t="s">
        <v>2380</v>
      </c>
      <c r="B79" s="8165" t="s">
        <v>16</v>
      </c>
      <c r="C79" s="8165" t="s">
        <v>2657</v>
      </c>
      <c r="D79" s="8165" t="s">
        <v>2658</v>
      </c>
      <c r="E79" s="8165" t="s">
        <v>2416</v>
      </c>
      <c r="F79" s="8165" t="s">
        <v>2400</v>
      </c>
      <c r="G79" s="8165" t="s">
        <v>28</v>
      </c>
      <c r="H79" s="8165" t="s">
        <v>28</v>
      </c>
      <c r="I79" s="8165" t="s">
        <v>936</v>
      </c>
    </row>
    <row customHeight="1" ht="11.25">
      <c r="A80" s="8165" t="s">
        <v>2380</v>
      </c>
      <c r="B80" s="8165" t="s">
        <v>16</v>
      </c>
      <c r="C80" s="8165" t="s">
        <v>2659</v>
      </c>
      <c r="D80" s="8165" t="s">
        <v>2660</v>
      </c>
      <c r="E80" s="8165" t="s">
        <v>2661</v>
      </c>
      <c r="F80" s="8165" t="s">
        <v>2662</v>
      </c>
      <c r="G80" s="8165" t="s">
        <v>28</v>
      </c>
      <c r="H80" s="8165" t="s">
        <v>28</v>
      </c>
      <c r="I80" s="8165" t="s">
        <v>936</v>
      </c>
    </row>
    <row customHeight="1" ht="11.25">
      <c r="A81" s="8165" t="s">
        <v>2380</v>
      </c>
      <c r="B81" s="8165" t="s">
        <v>16</v>
      </c>
      <c r="C81" s="8165" t="s">
        <v>2385</v>
      </c>
      <c r="D81" s="8165" t="s">
        <v>2386</v>
      </c>
      <c r="E81" s="8165" t="s">
        <v>2387</v>
      </c>
      <c r="F81" s="8165" t="s">
        <v>52</v>
      </c>
      <c r="G81" s="8165" t="s">
        <v>2388</v>
      </c>
      <c r="H81" s="8165" t="s">
        <v>28</v>
      </c>
      <c r="I81" s="8165" t="s">
        <v>1022</v>
      </c>
    </row>
    <row customHeight="1" ht="11.25">
      <c r="A82" s="8165" t="s">
        <v>2380</v>
      </c>
      <c r="B82" s="8165" t="s">
        <v>16</v>
      </c>
      <c r="C82" s="8165" t="s">
        <v>2398</v>
      </c>
      <c r="D82" s="8165" t="s">
        <v>2399</v>
      </c>
      <c r="E82" s="8165" t="s">
        <v>2396</v>
      </c>
      <c r="F82" s="8165" t="s">
        <v>2400</v>
      </c>
      <c r="G82" s="8165" t="s">
        <v>28</v>
      </c>
      <c r="H82" s="8165" t="s">
        <v>28</v>
      </c>
      <c r="I82" s="8165" t="s">
        <v>1022</v>
      </c>
    </row>
    <row customHeight="1" ht="11.25">
      <c r="A83" s="8165" t="s">
        <v>2380</v>
      </c>
      <c r="B83" s="8165" t="s">
        <v>16</v>
      </c>
      <c r="C83" s="8165" t="s">
        <v>2401</v>
      </c>
      <c r="D83" s="8165" t="s">
        <v>2402</v>
      </c>
      <c r="E83" s="8165" t="s">
        <v>2403</v>
      </c>
      <c r="F83" s="8165" t="s">
        <v>2404</v>
      </c>
      <c r="G83" s="8165" t="s">
        <v>28</v>
      </c>
      <c r="H83" s="8165" t="s">
        <v>28</v>
      </c>
      <c r="I83" s="8165" t="s">
        <v>1022</v>
      </c>
    </row>
    <row customHeight="1" ht="11.25">
      <c r="A84" s="8165" t="s">
        <v>2380</v>
      </c>
      <c r="B84" s="8165" t="s">
        <v>16</v>
      </c>
      <c r="C84" s="8165" t="s">
        <v>2414</v>
      </c>
      <c r="D84" s="8165" t="s">
        <v>2415</v>
      </c>
      <c r="E84" s="8165" t="s">
        <v>2416</v>
      </c>
      <c r="F84" s="8165" t="s">
        <v>2417</v>
      </c>
      <c r="G84" s="8165" t="s">
        <v>28</v>
      </c>
      <c r="H84" s="8165" t="s">
        <v>28</v>
      </c>
      <c r="I84" s="8165" t="s">
        <v>1022</v>
      </c>
    </row>
    <row customHeight="1" ht="11.25">
      <c r="A85" s="8165" t="s">
        <v>2380</v>
      </c>
      <c r="B85" s="8165" t="s">
        <v>16</v>
      </c>
      <c r="C85" s="8165" t="s">
        <v>2663</v>
      </c>
      <c r="D85" s="8165" t="s">
        <v>2664</v>
      </c>
      <c r="E85" s="8165" t="s">
        <v>2434</v>
      </c>
      <c r="F85" s="8165" t="s">
        <v>2665</v>
      </c>
      <c r="G85" s="8165" t="s">
        <v>2666</v>
      </c>
      <c r="H85" s="8165" t="s">
        <v>28</v>
      </c>
      <c r="I85" s="8165" t="s">
        <v>1022</v>
      </c>
    </row>
    <row customHeight="1" ht="11.25">
      <c r="A86" s="8165" t="s">
        <v>2380</v>
      </c>
      <c r="B86" s="8165" t="s">
        <v>16</v>
      </c>
      <c r="C86" s="8165" t="s">
        <v>2439</v>
      </c>
      <c r="D86" s="8165" t="s">
        <v>2440</v>
      </c>
      <c r="E86" s="8165" t="s">
        <v>2441</v>
      </c>
      <c r="F86" s="8165" t="s">
        <v>2392</v>
      </c>
      <c r="G86" s="8165" t="s">
        <v>28</v>
      </c>
      <c r="H86" s="8165" t="s">
        <v>28</v>
      </c>
      <c r="I86" s="8165" t="s">
        <v>1022</v>
      </c>
    </row>
    <row customHeight="1" ht="11.25">
      <c r="A87" s="8165" t="s">
        <v>2380</v>
      </c>
      <c r="B87" s="8165" t="s">
        <v>16</v>
      </c>
      <c r="C87" s="8165" t="s">
        <v>2442</v>
      </c>
      <c r="D87" s="8165" t="s">
        <v>2443</v>
      </c>
      <c r="E87" s="8165" t="s">
        <v>2444</v>
      </c>
      <c r="F87" s="8165" t="s">
        <v>704</v>
      </c>
      <c r="G87" s="8165" t="s">
        <v>28</v>
      </c>
      <c r="H87" s="8165" t="s">
        <v>28</v>
      </c>
      <c r="I87" s="8165" t="s">
        <v>1022</v>
      </c>
    </row>
    <row customHeight="1" ht="11.25">
      <c r="A88" s="8165" t="s">
        <v>2380</v>
      </c>
      <c r="B88" s="8165" t="s">
        <v>16</v>
      </c>
      <c r="C88" s="8165" t="s">
        <v>28</v>
      </c>
      <c r="D88" s="8165" t="s">
        <v>2445</v>
      </c>
      <c r="E88" s="8165" t="s">
        <v>2446</v>
      </c>
      <c r="F88" s="8165" t="s">
        <v>2392</v>
      </c>
      <c r="G88" s="8165" t="s">
        <v>28</v>
      </c>
      <c r="H88" s="8165" t="s">
        <v>28</v>
      </c>
      <c r="I88" s="8165" t="s">
        <v>1022</v>
      </c>
    </row>
    <row customHeight="1" ht="11.25">
      <c r="A89" s="8165" t="s">
        <v>2380</v>
      </c>
      <c r="B89" s="8165" t="s">
        <v>16</v>
      </c>
      <c r="C89" s="8165" t="s">
        <v>2447</v>
      </c>
      <c r="D89" s="8165" t="s">
        <v>2448</v>
      </c>
      <c r="E89" s="8165" t="s">
        <v>2449</v>
      </c>
      <c r="F89" s="8165" t="s">
        <v>2400</v>
      </c>
      <c r="G89" s="8165" t="s">
        <v>2450</v>
      </c>
      <c r="H89" s="8165" t="s">
        <v>28</v>
      </c>
      <c r="I89" s="8165" t="s">
        <v>1022</v>
      </c>
    </row>
    <row customHeight="1" ht="11.25">
      <c r="A90" s="8165" t="s">
        <v>2380</v>
      </c>
      <c r="B90" s="8165" t="s">
        <v>16</v>
      </c>
      <c r="C90" s="8165" t="s">
        <v>2465</v>
      </c>
      <c r="D90" s="8165" t="s">
        <v>2466</v>
      </c>
      <c r="E90" s="8165" t="s">
        <v>2467</v>
      </c>
      <c r="F90" s="8165" t="s">
        <v>2468</v>
      </c>
      <c r="G90" s="8165" t="s">
        <v>28</v>
      </c>
      <c r="H90" s="8165" t="s">
        <v>28</v>
      </c>
      <c r="I90" s="8165" t="s">
        <v>1022</v>
      </c>
    </row>
    <row customHeight="1" ht="11.25">
      <c r="A91" s="8165" t="s">
        <v>2380</v>
      </c>
      <c r="B91" s="8165" t="s">
        <v>16</v>
      </c>
      <c r="C91" s="8165" t="s">
        <v>2469</v>
      </c>
      <c r="D91" s="8165" t="s">
        <v>2470</v>
      </c>
      <c r="E91" s="8165" t="s">
        <v>2471</v>
      </c>
      <c r="F91" s="8165" t="s">
        <v>2392</v>
      </c>
      <c r="G91" s="8165" t="s">
        <v>28</v>
      </c>
      <c r="H91" s="8165" t="s">
        <v>28</v>
      </c>
      <c r="I91" s="8165" t="s">
        <v>1022</v>
      </c>
    </row>
    <row customHeight="1" ht="11.25">
      <c r="A92" s="8165" t="s">
        <v>2380</v>
      </c>
      <c r="B92" s="8165" t="s">
        <v>16</v>
      </c>
      <c r="C92" s="8165" t="s">
        <v>2472</v>
      </c>
      <c r="D92" s="8165" t="s">
        <v>2473</v>
      </c>
      <c r="E92" s="8165" t="s">
        <v>2474</v>
      </c>
      <c r="F92" s="8165" t="s">
        <v>2475</v>
      </c>
      <c r="G92" s="8165" t="s">
        <v>28</v>
      </c>
      <c r="H92" s="8165" t="s">
        <v>28</v>
      </c>
      <c r="I92" s="8165" t="s">
        <v>1022</v>
      </c>
    </row>
    <row customHeight="1" ht="11.25">
      <c r="A93" s="8165" t="s">
        <v>2380</v>
      </c>
      <c r="B93" s="8165" t="s">
        <v>16</v>
      </c>
      <c r="C93" s="8165" t="s">
        <v>2476</v>
      </c>
      <c r="D93" s="8165" t="s">
        <v>2477</v>
      </c>
      <c r="E93" s="8165" t="s">
        <v>2478</v>
      </c>
      <c r="F93" s="8165" t="s">
        <v>2468</v>
      </c>
      <c r="G93" s="8165" t="s">
        <v>28</v>
      </c>
      <c r="H93" s="8165" t="s">
        <v>28</v>
      </c>
      <c r="I93" s="8165" t="s">
        <v>1022</v>
      </c>
    </row>
    <row customHeight="1" ht="11.25">
      <c r="A94" s="8165" t="s">
        <v>2380</v>
      </c>
      <c r="B94" s="8165" t="s">
        <v>16</v>
      </c>
      <c r="C94" s="8165" t="s">
        <v>2482</v>
      </c>
      <c r="D94" s="8165" t="s">
        <v>2483</v>
      </c>
      <c r="E94" s="8165" t="s">
        <v>2484</v>
      </c>
      <c r="F94" s="8165" t="s">
        <v>2475</v>
      </c>
      <c r="G94" s="8165" t="s">
        <v>28</v>
      </c>
      <c r="H94" s="8165" t="s">
        <v>28</v>
      </c>
      <c r="I94" s="8165" t="s">
        <v>1022</v>
      </c>
    </row>
    <row customHeight="1" ht="11.25">
      <c r="A95" s="8165" t="s">
        <v>2380</v>
      </c>
      <c r="B95" s="8165" t="s">
        <v>16</v>
      </c>
      <c r="C95" s="8165" t="s">
        <v>13</v>
      </c>
      <c r="D95" s="8165" t="s">
        <v>47</v>
      </c>
      <c r="E95" s="8165" t="s">
        <v>50</v>
      </c>
      <c r="F95" s="8165" t="s">
        <v>52</v>
      </c>
      <c r="G95" s="8165" t="s">
        <v>28</v>
      </c>
      <c r="H95" s="8165" t="s">
        <v>28</v>
      </c>
      <c r="I95" s="8165" t="s">
        <v>1022</v>
      </c>
    </row>
    <row customHeight="1" ht="11.25">
      <c r="A96" s="8165" t="s">
        <v>2380</v>
      </c>
      <c r="B96" s="8165" t="s">
        <v>16</v>
      </c>
      <c r="C96" s="8165" t="s">
        <v>2499</v>
      </c>
      <c r="D96" s="8165" t="s">
        <v>2500</v>
      </c>
      <c r="E96" s="8165" t="s">
        <v>2501</v>
      </c>
      <c r="F96" s="8165" t="s">
        <v>2502</v>
      </c>
      <c r="G96" s="8165" t="s">
        <v>28</v>
      </c>
      <c r="H96" s="8165" t="s">
        <v>28</v>
      </c>
      <c r="I96" s="8165" t="s">
        <v>1022</v>
      </c>
    </row>
    <row customHeight="1" ht="11.25">
      <c r="A97" s="8165" t="s">
        <v>2380</v>
      </c>
      <c r="B97" s="8165" t="s">
        <v>16</v>
      </c>
      <c r="C97" s="8165" t="s">
        <v>2516</v>
      </c>
      <c r="D97" s="8165" t="s">
        <v>2517</v>
      </c>
      <c r="E97" s="8165" t="s">
        <v>2518</v>
      </c>
      <c r="F97" s="8165" t="s">
        <v>2475</v>
      </c>
      <c r="G97" s="8165" t="s">
        <v>28</v>
      </c>
      <c r="H97" s="8165" t="s">
        <v>28</v>
      </c>
      <c r="I97" s="8165" t="s">
        <v>1022</v>
      </c>
    </row>
    <row customHeight="1" ht="11.25">
      <c r="A98" s="8165" t="s">
        <v>2380</v>
      </c>
      <c r="B98" s="8165" t="s">
        <v>16</v>
      </c>
      <c r="C98" s="8165" t="s">
        <v>2522</v>
      </c>
      <c r="D98" s="8165" t="s">
        <v>2523</v>
      </c>
      <c r="E98" s="8165" t="s">
        <v>2524</v>
      </c>
      <c r="F98" s="8165" t="s">
        <v>2525</v>
      </c>
      <c r="G98" s="8165" t="s">
        <v>2526</v>
      </c>
      <c r="H98" s="8165" t="s">
        <v>28</v>
      </c>
      <c r="I98" s="8165" t="s">
        <v>1022</v>
      </c>
    </row>
    <row customHeight="1" ht="11.25">
      <c r="A99" s="8165" t="s">
        <v>2380</v>
      </c>
      <c r="B99" s="8165" t="s">
        <v>16</v>
      </c>
      <c r="C99" s="8165" t="s">
        <v>2527</v>
      </c>
      <c r="D99" s="8165" t="s">
        <v>2528</v>
      </c>
      <c r="E99" s="8165" t="s">
        <v>2529</v>
      </c>
      <c r="F99" s="8165" t="s">
        <v>2530</v>
      </c>
      <c r="G99" s="8165" t="s">
        <v>28</v>
      </c>
      <c r="H99" s="8165" t="s">
        <v>28</v>
      </c>
      <c r="I99" s="8165" t="s">
        <v>1022</v>
      </c>
    </row>
    <row customHeight="1" ht="11.25">
      <c r="A100" s="8165" t="s">
        <v>2380</v>
      </c>
      <c r="B100" s="8165" t="s">
        <v>16</v>
      </c>
      <c r="C100" s="8165" t="s">
        <v>2531</v>
      </c>
      <c r="D100" s="8165" t="s">
        <v>2532</v>
      </c>
      <c r="E100" s="8165" t="s">
        <v>2533</v>
      </c>
      <c r="F100" s="8165" t="s">
        <v>2475</v>
      </c>
      <c r="G100" s="8165" t="s">
        <v>28</v>
      </c>
      <c r="H100" s="8165" t="s">
        <v>28</v>
      </c>
      <c r="I100" s="8165" t="s">
        <v>1022</v>
      </c>
    </row>
    <row customHeight="1" ht="11.25">
      <c r="A101" s="8165" t="s">
        <v>2380</v>
      </c>
      <c r="B101" s="8165" t="s">
        <v>16</v>
      </c>
      <c r="C101" s="8165" t="s">
        <v>2538</v>
      </c>
      <c r="D101" s="8165" t="s">
        <v>2539</v>
      </c>
      <c r="E101" s="8165" t="s">
        <v>2540</v>
      </c>
      <c r="F101" s="8165" t="s">
        <v>2475</v>
      </c>
      <c r="G101" s="8165" t="s">
        <v>28</v>
      </c>
      <c r="H101" s="8165" t="s">
        <v>28</v>
      </c>
      <c r="I101" s="8165" t="s">
        <v>1022</v>
      </c>
    </row>
    <row customHeight="1" ht="11.25">
      <c r="A102" s="8165" t="s">
        <v>2380</v>
      </c>
      <c r="B102" s="8165" t="s">
        <v>16</v>
      </c>
      <c r="C102" s="8165" t="s">
        <v>2541</v>
      </c>
      <c r="D102" s="8165" t="s">
        <v>2542</v>
      </c>
      <c r="E102" s="8165" t="s">
        <v>2543</v>
      </c>
      <c r="F102" s="8165" t="s">
        <v>2475</v>
      </c>
      <c r="G102" s="8165" t="s">
        <v>2544</v>
      </c>
      <c r="H102" s="8165" t="s">
        <v>28</v>
      </c>
      <c r="I102" s="8165" t="s">
        <v>1022</v>
      </c>
    </row>
    <row customHeight="1" ht="11.25">
      <c r="A103" s="8165" t="s">
        <v>2380</v>
      </c>
      <c r="B103" s="8165" t="s">
        <v>16</v>
      </c>
      <c r="C103" s="8165" t="s">
        <v>2551</v>
      </c>
      <c r="D103" s="8165" t="s">
        <v>2552</v>
      </c>
      <c r="E103" s="8165" t="s">
        <v>2553</v>
      </c>
      <c r="F103" s="8165" t="s">
        <v>2554</v>
      </c>
      <c r="G103" s="8165" t="s">
        <v>28</v>
      </c>
      <c r="H103" s="8165" t="s">
        <v>28</v>
      </c>
      <c r="I103" s="8165" t="s">
        <v>1022</v>
      </c>
    </row>
    <row customHeight="1" ht="11.25">
      <c r="A104" s="8165" t="s">
        <v>2380</v>
      </c>
      <c r="B104" s="8165" t="s">
        <v>16</v>
      </c>
      <c r="C104" s="8165" t="s">
        <v>2555</v>
      </c>
      <c r="D104" s="8165" t="s">
        <v>2556</v>
      </c>
      <c r="E104" s="8165" t="s">
        <v>2557</v>
      </c>
      <c r="F104" s="8165" t="s">
        <v>2475</v>
      </c>
      <c r="G104" s="8165" t="s">
        <v>28</v>
      </c>
      <c r="H104" s="8165" t="s">
        <v>28</v>
      </c>
      <c r="I104" s="8165" t="s">
        <v>1022</v>
      </c>
    </row>
    <row customHeight="1" ht="11.25">
      <c r="A105" s="8165" t="s">
        <v>2380</v>
      </c>
      <c r="B105" s="8165" t="s">
        <v>16</v>
      </c>
      <c r="C105" s="8165" t="s">
        <v>2558</v>
      </c>
      <c r="D105" s="8165" t="s">
        <v>2559</v>
      </c>
      <c r="E105" s="8165" t="s">
        <v>2560</v>
      </c>
      <c r="F105" s="8165" t="s">
        <v>2561</v>
      </c>
      <c r="G105" s="8165" t="s">
        <v>2562</v>
      </c>
      <c r="H105" s="8165" t="s">
        <v>28</v>
      </c>
      <c r="I105" s="8165" t="s">
        <v>1022</v>
      </c>
    </row>
    <row customHeight="1" ht="11.25">
      <c r="A106" s="8165" t="s">
        <v>2380</v>
      </c>
      <c r="B106" s="8165" t="s">
        <v>16</v>
      </c>
      <c r="C106" s="8165" t="s">
        <v>2569</v>
      </c>
      <c r="D106" s="8165" t="s">
        <v>2570</v>
      </c>
      <c r="E106" s="8165" t="s">
        <v>2571</v>
      </c>
      <c r="F106" s="8165" t="s">
        <v>2572</v>
      </c>
      <c r="G106" s="8165" t="s">
        <v>28</v>
      </c>
      <c r="H106" s="8165" t="s">
        <v>28</v>
      </c>
      <c r="I106" s="8165" t="s">
        <v>1022</v>
      </c>
    </row>
    <row customHeight="1" ht="11.25">
      <c r="A107" s="8165" t="s">
        <v>2380</v>
      </c>
      <c r="B107" s="8165" t="s">
        <v>16</v>
      </c>
      <c r="C107" s="8165" t="s">
        <v>2573</v>
      </c>
      <c r="D107" s="8165" t="s">
        <v>2574</v>
      </c>
      <c r="E107" s="8165" t="s">
        <v>2575</v>
      </c>
      <c r="F107" s="8165" t="s">
        <v>2576</v>
      </c>
      <c r="G107" s="8165" t="s">
        <v>2577</v>
      </c>
      <c r="H107" s="8165" t="s">
        <v>28</v>
      </c>
      <c r="I107" s="8165" t="s">
        <v>1022</v>
      </c>
    </row>
    <row customHeight="1" ht="11.25">
      <c r="A108" s="8165" t="s">
        <v>2380</v>
      </c>
      <c r="B108" s="8165" t="s">
        <v>16</v>
      </c>
      <c r="C108" s="8165" t="s">
        <v>2582</v>
      </c>
      <c r="D108" s="8165" t="s">
        <v>2583</v>
      </c>
      <c r="E108" s="8165" t="s">
        <v>2584</v>
      </c>
      <c r="F108" s="8165" t="s">
        <v>52</v>
      </c>
      <c r="G108" s="8165" t="s">
        <v>28</v>
      </c>
      <c r="H108" s="8165" t="s">
        <v>28</v>
      </c>
      <c r="I108" s="8165" t="s">
        <v>1022</v>
      </c>
    </row>
    <row customHeight="1" ht="11.25">
      <c r="A109" s="8165" t="s">
        <v>2380</v>
      </c>
      <c r="B109" s="8165" t="s">
        <v>16</v>
      </c>
      <c r="C109" s="8165" t="s">
        <v>2585</v>
      </c>
      <c r="D109" s="8165" t="s">
        <v>2586</v>
      </c>
      <c r="E109" s="8165" t="s">
        <v>2587</v>
      </c>
      <c r="F109" s="8165" t="s">
        <v>52</v>
      </c>
      <c r="G109" s="8165" t="s">
        <v>2588</v>
      </c>
      <c r="H109" s="8165" t="s">
        <v>28</v>
      </c>
      <c r="I109" s="8165" t="s">
        <v>1022</v>
      </c>
    </row>
    <row customHeight="1" ht="11.25">
      <c r="A110" s="8165" t="s">
        <v>2380</v>
      </c>
      <c r="B110" s="8165" t="s">
        <v>16</v>
      </c>
      <c r="C110" s="8165" t="s">
        <v>2600</v>
      </c>
      <c r="D110" s="8165" t="s">
        <v>2601</v>
      </c>
      <c r="E110" s="8165" t="s">
        <v>2602</v>
      </c>
      <c r="F110" s="8165" t="s">
        <v>2392</v>
      </c>
      <c r="G110" s="8165" t="s">
        <v>28</v>
      </c>
      <c r="H110" s="8165" t="s">
        <v>28</v>
      </c>
      <c r="I110" s="8165" t="s">
        <v>1022</v>
      </c>
    </row>
    <row customHeight="1" ht="11.25">
      <c r="A111" s="8165" t="s">
        <v>2380</v>
      </c>
      <c r="B111" s="8165" t="s">
        <v>16</v>
      </c>
      <c r="C111" s="8165" t="s">
        <v>2620</v>
      </c>
      <c r="D111" s="8165" t="s">
        <v>2621</v>
      </c>
      <c r="E111" s="8165" t="s">
        <v>2622</v>
      </c>
      <c r="F111" s="8165" t="s">
        <v>2623</v>
      </c>
      <c r="G111" s="8165" t="s">
        <v>28</v>
      </c>
      <c r="H111" s="8165" t="s">
        <v>28</v>
      </c>
      <c r="I111" s="8165" t="s">
        <v>1022</v>
      </c>
    </row>
    <row customHeight="1" ht="11.25">
      <c r="A112" s="8165" t="s">
        <v>2380</v>
      </c>
      <c r="B112" s="8165" t="s">
        <v>16</v>
      </c>
      <c r="C112" s="8165" t="s">
        <v>2634</v>
      </c>
      <c r="D112" s="8165" t="s">
        <v>2635</v>
      </c>
      <c r="E112" s="8165" t="s">
        <v>2636</v>
      </c>
      <c r="F112" s="8165" t="s">
        <v>2637</v>
      </c>
      <c r="G112" s="8165" t="s">
        <v>28</v>
      </c>
      <c r="H112" s="8165" t="s">
        <v>28</v>
      </c>
      <c r="I112" s="8165" t="s">
        <v>1022</v>
      </c>
    </row>
    <row customHeight="1" ht="11.25">
      <c r="A113" s="8165" t="s">
        <v>2380</v>
      </c>
      <c r="B113" s="8165" t="s">
        <v>16</v>
      </c>
      <c r="C113" s="8165" t="s">
        <v>2638</v>
      </c>
      <c r="D113" s="8165" t="s">
        <v>2639</v>
      </c>
      <c r="E113" s="8165" t="s">
        <v>2640</v>
      </c>
      <c r="F113" s="8165" t="s">
        <v>2641</v>
      </c>
      <c r="G113" s="8165" t="s">
        <v>2642</v>
      </c>
      <c r="H113" s="8165" t="s">
        <v>28</v>
      </c>
      <c r="I113" s="8165" t="s">
        <v>1022</v>
      </c>
    </row>
    <row customHeight="1" ht="11.25">
      <c r="A114" s="8165" t="s">
        <v>2380</v>
      </c>
      <c r="B114" s="8165" t="s">
        <v>16</v>
      </c>
      <c r="C114" s="8165" t="s">
        <v>2643</v>
      </c>
      <c r="D114" s="8165" t="s">
        <v>2644</v>
      </c>
      <c r="E114" s="8165" t="s">
        <v>2396</v>
      </c>
      <c r="F114" s="8165" t="s">
        <v>2645</v>
      </c>
      <c r="G114" s="8165" t="s">
        <v>28</v>
      </c>
      <c r="H114" s="8165" t="s">
        <v>28</v>
      </c>
      <c r="I114" s="8165" t="s">
        <v>1022</v>
      </c>
    </row>
    <row customHeight="1" ht="11.25">
      <c r="A115" s="8165" t="s">
        <v>2380</v>
      </c>
      <c r="B115" s="8165" t="s">
        <v>16</v>
      </c>
      <c r="C115" s="8165" t="s">
        <v>2646</v>
      </c>
      <c r="D115" s="8165" t="s">
        <v>2647</v>
      </c>
      <c r="E115" s="8165" t="s">
        <v>2411</v>
      </c>
      <c r="F115" s="8165" t="s">
        <v>2475</v>
      </c>
      <c r="G115" s="8165" t="s">
        <v>28</v>
      </c>
      <c r="H115" s="8165" t="s">
        <v>28</v>
      </c>
      <c r="I115" s="8165" t="s">
        <v>1022</v>
      </c>
    </row>
    <row customHeight="1" ht="11.25">
      <c r="A116" s="8165" t="s">
        <v>2380</v>
      </c>
      <c r="B116" s="8165" t="s">
        <v>16</v>
      </c>
      <c r="C116" s="8165" t="s">
        <v>2651</v>
      </c>
      <c r="D116" s="8165" t="s">
        <v>2652</v>
      </c>
      <c r="E116" s="8165" t="s">
        <v>2653</v>
      </c>
      <c r="F116" s="8165" t="s">
        <v>2576</v>
      </c>
      <c r="G116" s="8165" t="s">
        <v>28</v>
      </c>
      <c r="H116" s="8165" t="s">
        <v>28</v>
      </c>
      <c r="I116" s="8165" t="s">
        <v>1022</v>
      </c>
    </row>
    <row customHeight="1" ht="11.25">
      <c r="A117" s="8165" t="s">
        <v>2380</v>
      </c>
      <c r="B117" s="8165" t="s">
        <v>16</v>
      </c>
      <c r="C117" s="8165" t="s">
        <v>2657</v>
      </c>
      <c r="D117" s="8165" t="s">
        <v>2658</v>
      </c>
      <c r="E117" s="8165" t="s">
        <v>2416</v>
      </c>
      <c r="F117" s="8165" t="s">
        <v>2400</v>
      </c>
      <c r="G117" s="8165" t="s">
        <v>28</v>
      </c>
      <c r="H117" s="8165" t="s">
        <v>28</v>
      </c>
      <c r="I117" s="8165" t="s">
        <v>1022</v>
      </c>
    </row>
    <row customHeight="1" ht="11.25">
      <c r="A118" s="8165" t="s">
        <v>2380</v>
      </c>
      <c r="B118" s="8165" t="s">
        <v>16</v>
      </c>
      <c r="C118" s="8165" t="s">
        <v>2659</v>
      </c>
      <c r="D118" s="8165" t="s">
        <v>2660</v>
      </c>
      <c r="E118" s="8165" t="s">
        <v>2661</v>
      </c>
      <c r="F118" s="8165" t="s">
        <v>2662</v>
      </c>
      <c r="G118" s="8165" t="s">
        <v>28</v>
      </c>
      <c r="H118" s="8165" t="s">
        <v>28</v>
      </c>
      <c r="I118" s="8165" t="s">
        <v>1022</v>
      </c>
    </row>
    <row customHeight="1" ht="11.25">
      <c r="A119" s="8165" t="s">
        <v>2380</v>
      </c>
      <c r="B119" s="8165" t="s">
        <v>16</v>
      </c>
      <c r="C119" s="8165" t="s">
        <v>2381</v>
      </c>
      <c r="D119" s="8165" t="s">
        <v>2382</v>
      </c>
      <c r="E119" s="8165" t="s">
        <v>2383</v>
      </c>
      <c r="F119" s="8165" t="s">
        <v>2384</v>
      </c>
      <c r="G119" s="8165" t="s">
        <v>28</v>
      </c>
      <c r="H119" s="8165" t="s">
        <v>28</v>
      </c>
      <c r="I119" s="8165" t="s">
        <v>982</v>
      </c>
    </row>
    <row customHeight="1" ht="11.25">
      <c r="A120" s="8165" t="s">
        <v>2380</v>
      </c>
      <c r="B120" s="8165" t="s">
        <v>16</v>
      </c>
      <c r="C120" s="8165" t="s">
        <v>2667</v>
      </c>
      <c r="D120" s="8165" t="s">
        <v>2668</v>
      </c>
      <c r="E120" s="8165" t="s">
        <v>2669</v>
      </c>
      <c r="F120" s="8165" t="s">
        <v>2576</v>
      </c>
      <c r="G120" s="8165" t="s">
        <v>28</v>
      </c>
      <c r="H120" s="8165" t="s">
        <v>28</v>
      </c>
      <c r="I120" s="8165" t="s">
        <v>982</v>
      </c>
    </row>
    <row customHeight="1" ht="11.25">
      <c r="A121" s="8165" t="s">
        <v>2380</v>
      </c>
      <c r="B121" s="8165" t="s">
        <v>16</v>
      </c>
      <c r="C121" s="8165" t="s">
        <v>2670</v>
      </c>
      <c r="D121" s="8165" t="s">
        <v>2671</v>
      </c>
      <c r="E121" s="8165" t="s">
        <v>2672</v>
      </c>
      <c r="F121" s="8165" t="s">
        <v>2609</v>
      </c>
      <c r="G121" s="8165" t="s">
        <v>28</v>
      </c>
      <c r="H121" s="8165" t="s">
        <v>28</v>
      </c>
      <c r="I121" s="8165" t="s">
        <v>982</v>
      </c>
    </row>
    <row customHeight="1" ht="11.25">
      <c r="A122" s="8165" t="s">
        <v>2380</v>
      </c>
      <c r="B122" s="8165" t="s">
        <v>16</v>
      </c>
      <c r="C122" s="8165" t="s">
        <v>2673</v>
      </c>
      <c r="D122" s="8165" t="s">
        <v>2674</v>
      </c>
      <c r="E122" s="8165" t="s">
        <v>2675</v>
      </c>
      <c r="F122" s="8165" t="s">
        <v>2537</v>
      </c>
      <c r="G122" s="8165" t="s">
        <v>2676</v>
      </c>
      <c r="H122" s="8165" t="s">
        <v>28</v>
      </c>
      <c r="I122" s="8165" t="s">
        <v>982</v>
      </c>
    </row>
    <row customHeight="1" ht="11.25">
      <c r="A123" s="8165" t="s">
        <v>2380</v>
      </c>
      <c r="B123" s="8165" t="s">
        <v>16</v>
      </c>
      <c r="C123" s="8165" t="s">
        <v>2677</v>
      </c>
      <c r="D123" s="8165" t="s">
        <v>2678</v>
      </c>
      <c r="E123" s="8165" t="s">
        <v>2679</v>
      </c>
      <c r="F123" s="8165" t="s">
        <v>2633</v>
      </c>
      <c r="G123" s="8165" t="s">
        <v>28</v>
      </c>
      <c r="H123" s="8165" t="s">
        <v>28</v>
      </c>
      <c r="I123" s="8165" t="s">
        <v>982</v>
      </c>
    </row>
    <row customHeight="1" ht="11.25">
      <c r="A124" s="8165" t="s">
        <v>2380</v>
      </c>
      <c r="B124" s="8165" t="s">
        <v>16</v>
      </c>
      <c r="C124" s="8165" t="s">
        <v>2680</v>
      </c>
      <c r="D124" s="8165" t="s">
        <v>2681</v>
      </c>
      <c r="E124" s="8165" t="s">
        <v>2682</v>
      </c>
      <c r="F124" s="8165" t="s">
        <v>2683</v>
      </c>
      <c r="G124" s="8165" t="s">
        <v>28</v>
      </c>
      <c r="H124" s="8165" t="s">
        <v>28</v>
      </c>
      <c r="I124" s="8165" t="s">
        <v>982</v>
      </c>
    </row>
    <row customHeight="1" ht="11.25">
      <c r="A125" s="8165" t="s">
        <v>2380</v>
      </c>
      <c r="B125" s="8165" t="s">
        <v>16</v>
      </c>
      <c r="C125" s="8165" t="s">
        <v>2684</v>
      </c>
      <c r="D125" s="8165" t="s">
        <v>2685</v>
      </c>
      <c r="E125" s="8165" t="s">
        <v>2686</v>
      </c>
      <c r="F125" s="8165" t="s">
        <v>2502</v>
      </c>
      <c r="G125" s="8165" t="s">
        <v>28</v>
      </c>
      <c r="H125" s="8165" t="s">
        <v>28</v>
      </c>
      <c r="I125" s="8165" t="s">
        <v>982</v>
      </c>
    </row>
    <row customHeight="1" ht="11.25">
      <c r="A126" s="8165" t="s">
        <v>2380</v>
      </c>
      <c r="B126" s="8165" t="s">
        <v>16</v>
      </c>
      <c r="C126" s="8165" t="s">
        <v>2687</v>
      </c>
      <c r="D126" s="8165" t="s">
        <v>2688</v>
      </c>
      <c r="E126" s="8165" t="s">
        <v>2689</v>
      </c>
      <c r="F126" s="8165" t="s">
        <v>2690</v>
      </c>
      <c r="G126" s="8165" t="s">
        <v>28</v>
      </c>
      <c r="H126" s="8165" t="s">
        <v>28</v>
      </c>
      <c r="I126" s="8165" t="s">
        <v>982</v>
      </c>
    </row>
    <row customHeight="1" ht="11.25">
      <c r="A127" s="8165" t="s">
        <v>2380</v>
      </c>
      <c r="B127" s="8165" t="s">
        <v>16</v>
      </c>
      <c r="C127" s="8165" t="s">
        <v>2691</v>
      </c>
      <c r="D127" s="8165" t="s">
        <v>2692</v>
      </c>
      <c r="E127" s="8165" t="s">
        <v>2693</v>
      </c>
      <c r="F127" s="8165" t="s">
        <v>2421</v>
      </c>
      <c r="G127" s="8165" t="s">
        <v>2694</v>
      </c>
      <c r="H127" s="8165" t="s">
        <v>28</v>
      </c>
      <c r="I127" s="8165" t="s">
        <v>982</v>
      </c>
    </row>
    <row customHeight="1" ht="11.25">
      <c r="A128" s="8165" t="s">
        <v>2380</v>
      </c>
      <c r="B128" s="8165" t="s">
        <v>16</v>
      </c>
      <c r="C128" s="8165" t="s">
        <v>2695</v>
      </c>
      <c r="D128" s="8165" t="s">
        <v>2696</v>
      </c>
      <c r="E128" s="8165" t="s">
        <v>2697</v>
      </c>
      <c r="F128" s="8165" t="s">
        <v>2392</v>
      </c>
      <c r="G128" s="8165" t="s">
        <v>2698</v>
      </c>
      <c r="H128" s="8165" t="s">
        <v>28</v>
      </c>
      <c r="I128" s="8165" t="s">
        <v>982</v>
      </c>
    </row>
    <row customHeight="1" ht="11.25">
      <c r="A129" s="8165" t="s">
        <v>2380</v>
      </c>
      <c r="B129" s="8165" t="s">
        <v>16</v>
      </c>
      <c r="C129" s="8165" t="s">
        <v>2398</v>
      </c>
      <c r="D129" s="8165" t="s">
        <v>2399</v>
      </c>
      <c r="E129" s="8165" t="s">
        <v>2396</v>
      </c>
      <c r="F129" s="8165" t="s">
        <v>2400</v>
      </c>
      <c r="G129" s="8165" t="s">
        <v>28</v>
      </c>
      <c r="H129" s="8165" t="s">
        <v>28</v>
      </c>
      <c r="I129" s="8165" t="s">
        <v>982</v>
      </c>
    </row>
    <row customHeight="1" ht="11.25">
      <c r="A130" s="8165" t="s">
        <v>2380</v>
      </c>
      <c r="B130" s="8165" t="s">
        <v>16</v>
      </c>
      <c r="C130" s="8165" t="s">
        <v>2401</v>
      </c>
      <c r="D130" s="8165" t="s">
        <v>2402</v>
      </c>
      <c r="E130" s="8165" t="s">
        <v>2403</v>
      </c>
      <c r="F130" s="8165" t="s">
        <v>2404</v>
      </c>
      <c r="G130" s="8165" t="s">
        <v>28</v>
      </c>
      <c r="H130" s="8165" t="s">
        <v>28</v>
      </c>
      <c r="I130" s="8165" t="s">
        <v>982</v>
      </c>
    </row>
    <row customHeight="1" ht="11.25">
      <c r="A131" s="8165" t="s">
        <v>2380</v>
      </c>
      <c r="B131" s="8165" t="s">
        <v>16</v>
      </c>
      <c r="C131" s="8165" t="s">
        <v>2405</v>
      </c>
      <c r="D131" s="8165" t="s">
        <v>2406</v>
      </c>
      <c r="E131" s="8165" t="s">
        <v>2407</v>
      </c>
      <c r="F131" s="8165" t="s">
        <v>2392</v>
      </c>
      <c r="G131" s="8165" t="s">
        <v>2408</v>
      </c>
      <c r="H131" s="8165" t="s">
        <v>28</v>
      </c>
      <c r="I131" s="8165" t="s">
        <v>982</v>
      </c>
    </row>
    <row customHeight="1" ht="11.25">
      <c r="A132" s="8165" t="s">
        <v>2380</v>
      </c>
      <c r="B132" s="8165" t="s">
        <v>16</v>
      </c>
      <c r="C132" s="8165" t="s">
        <v>2699</v>
      </c>
      <c r="D132" s="8165" t="s">
        <v>2700</v>
      </c>
      <c r="E132" s="8165" t="s">
        <v>2701</v>
      </c>
      <c r="F132" s="8165" t="s">
        <v>2392</v>
      </c>
      <c r="G132" s="8165" t="s">
        <v>28</v>
      </c>
      <c r="H132" s="8165" t="s">
        <v>28</v>
      </c>
      <c r="I132" s="8165" t="s">
        <v>982</v>
      </c>
    </row>
    <row customHeight="1" ht="11.25">
      <c r="A133" s="8165" t="s">
        <v>2380</v>
      </c>
      <c r="B133" s="8165" t="s">
        <v>16</v>
      </c>
      <c r="C133" s="8165" t="s">
        <v>2409</v>
      </c>
      <c r="D133" s="8165" t="s">
        <v>2410</v>
      </c>
      <c r="E133" s="8165" t="s">
        <v>2411</v>
      </c>
      <c r="F133" s="8165" t="s">
        <v>2412</v>
      </c>
      <c r="G133" s="8165" t="s">
        <v>2413</v>
      </c>
      <c r="H133" s="8165" t="s">
        <v>28</v>
      </c>
      <c r="I133" s="8165" t="s">
        <v>982</v>
      </c>
    </row>
    <row customHeight="1" ht="11.25">
      <c r="A134" s="8165" t="s">
        <v>2380</v>
      </c>
      <c r="B134" s="8165" t="s">
        <v>16</v>
      </c>
      <c r="C134" s="8165" t="s">
        <v>2418</v>
      </c>
      <c r="D134" s="8165" t="s">
        <v>2419</v>
      </c>
      <c r="E134" s="8165" t="s">
        <v>2420</v>
      </c>
      <c r="F134" s="8165" t="s">
        <v>2421</v>
      </c>
      <c r="G134" s="8165" t="s">
        <v>28</v>
      </c>
      <c r="H134" s="8165" t="s">
        <v>28</v>
      </c>
      <c r="I134" s="8165" t="s">
        <v>982</v>
      </c>
    </row>
    <row customHeight="1" ht="11.25">
      <c r="A135" s="8165" t="s">
        <v>2380</v>
      </c>
      <c r="B135" s="8165" t="s">
        <v>16</v>
      </c>
      <c r="C135" s="8165" t="s">
        <v>2702</v>
      </c>
      <c r="D135" s="8165" t="s">
        <v>2703</v>
      </c>
      <c r="E135" s="8165" t="s">
        <v>2704</v>
      </c>
      <c r="F135" s="8165" t="s">
        <v>2502</v>
      </c>
      <c r="G135" s="8165" t="s">
        <v>28</v>
      </c>
      <c r="H135" s="8165" t="s">
        <v>28</v>
      </c>
      <c r="I135" s="8165" t="s">
        <v>982</v>
      </c>
    </row>
    <row customHeight="1" ht="11.25">
      <c r="A136" s="8165" t="s">
        <v>2380</v>
      </c>
      <c r="B136" s="8165" t="s">
        <v>16</v>
      </c>
      <c r="C136" s="8165" t="s">
        <v>2422</v>
      </c>
      <c r="D136" s="8165" t="s">
        <v>2423</v>
      </c>
      <c r="E136" s="8165" t="s">
        <v>2424</v>
      </c>
      <c r="F136" s="8165" t="s">
        <v>2392</v>
      </c>
      <c r="G136" s="8165" t="s">
        <v>28</v>
      </c>
      <c r="H136" s="8165" t="s">
        <v>28</v>
      </c>
      <c r="I136" s="8165" t="s">
        <v>982</v>
      </c>
    </row>
    <row customHeight="1" ht="11.25">
      <c r="A137" s="8165" t="s">
        <v>2380</v>
      </c>
      <c r="B137" s="8165" t="s">
        <v>16</v>
      </c>
      <c r="C137" s="8165" t="s">
        <v>2425</v>
      </c>
      <c r="D137" s="8165" t="s">
        <v>2426</v>
      </c>
      <c r="E137" s="8165" t="s">
        <v>2427</v>
      </c>
      <c r="F137" s="8165" t="s">
        <v>2392</v>
      </c>
      <c r="G137" s="8165" t="s">
        <v>28</v>
      </c>
      <c r="H137" s="8165" t="s">
        <v>28</v>
      </c>
      <c r="I137" s="8165" t="s">
        <v>982</v>
      </c>
    </row>
    <row customHeight="1" ht="11.25">
      <c r="A138" s="8165" t="s">
        <v>2380</v>
      </c>
      <c r="B138" s="8165" t="s">
        <v>16</v>
      </c>
      <c r="C138" s="8165" t="s">
        <v>2705</v>
      </c>
      <c r="D138" s="8165" t="s">
        <v>2706</v>
      </c>
      <c r="E138" s="8165" t="s">
        <v>2707</v>
      </c>
      <c r="F138" s="8165" t="s">
        <v>2475</v>
      </c>
      <c r="G138" s="8165" t="s">
        <v>28</v>
      </c>
      <c r="H138" s="8165" t="s">
        <v>28</v>
      </c>
      <c r="I138" s="8165" t="s">
        <v>982</v>
      </c>
    </row>
    <row customHeight="1" ht="11.25">
      <c r="A139" s="8165" t="s">
        <v>2380</v>
      </c>
      <c r="B139" s="8165" t="s">
        <v>16</v>
      </c>
      <c r="C139" s="8165" t="s">
        <v>2708</v>
      </c>
      <c r="D139" s="8165" t="s">
        <v>2709</v>
      </c>
      <c r="E139" s="8165" t="s">
        <v>2710</v>
      </c>
      <c r="F139" s="8165" t="s">
        <v>2637</v>
      </c>
      <c r="G139" s="8165" t="s">
        <v>28</v>
      </c>
      <c r="H139" s="8165" t="s">
        <v>28</v>
      </c>
      <c r="I139" s="8165" t="s">
        <v>982</v>
      </c>
    </row>
    <row customHeight="1" ht="11.25">
      <c r="A140" s="8165" t="s">
        <v>2380</v>
      </c>
      <c r="B140" s="8165" t="s">
        <v>16</v>
      </c>
      <c r="C140" s="8165" t="s">
        <v>2711</v>
      </c>
      <c r="D140" s="8165" t="s">
        <v>2712</v>
      </c>
      <c r="E140" s="8165" t="s">
        <v>2713</v>
      </c>
      <c r="F140" s="8165" t="s">
        <v>2592</v>
      </c>
      <c r="G140" s="8165" t="s">
        <v>28</v>
      </c>
      <c r="H140" s="8165" t="s">
        <v>28</v>
      </c>
      <c r="I140" s="8165" t="s">
        <v>982</v>
      </c>
    </row>
    <row customHeight="1" ht="11.25">
      <c r="A141" s="8165" t="s">
        <v>2380</v>
      </c>
      <c r="B141" s="8165" t="s">
        <v>16</v>
      </c>
      <c r="C141" s="8165" t="s">
        <v>2714</v>
      </c>
      <c r="D141" s="8165" t="s">
        <v>2715</v>
      </c>
      <c r="E141" s="8165" t="s">
        <v>2716</v>
      </c>
      <c r="F141" s="8165" t="s">
        <v>2384</v>
      </c>
      <c r="G141" s="8165" t="s">
        <v>28</v>
      </c>
      <c r="H141" s="8165" t="s">
        <v>28</v>
      </c>
      <c r="I141" s="8165" t="s">
        <v>982</v>
      </c>
    </row>
    <row customHeight="1" ht="11.25">
      <c r="A142" s="8165" t="s">
        <v>2380</v>
      </c>
      <c r="B142" s="8165" t="s">
        <v>16</v>
      </c>
      <c r="C142" s="8165" t="s">
        <v>2717</v>
      </c>
      <c r="D142" s="8165" t="s">
        <v>2718</v>
      </c>
      <c r="E142" s="8165" t="s">
        <v>2719</v>
      </c>
      <c r="F142" s="8165" t="s">
        <v>2384</v>
      </c>
      <c r="G142" s="8165" t="s">
        <v>28</v>
      </c>
      <c r="H142" s="8165" t="s">
        <v>28</v>
      </c>
      <c r="I142" s="8165" t="s">
        <v>982</v>
      </c>
    </row>
    <row customHeight="1" ht="11.25">
      <c r="A143" s="8165" t="s">
        <v>2380</v>
      </c>
      <c r="B143" s="8165" t="s">
        <v>16</v>
      </c>
      <c r="C143" s="8165" t="s">
        <v>2720</v>
      </c>
      <c r="D143" s="8165" t="s">
        <v>2721</v>
      </c>
      <c r="E143" s="8165" t="s">
        <v>2722</v>
      </c>
      <c r="F143" s="8165" t="s">
        <v>2384</v>
      </c>
      <c r="G143" s="8165" t="s">
        <v>28</v>
      </c>
      <c r="H143" s="8165" t="s">
        <v>28</v>
      </c>
      <c r="I143" s="8165" t="s">
        <v>982</v>
      </c>
    </row>
    <row customHeight="1" ht="11.25">
      <c r="A144" s="8165" t="s">
        <v>2380</v>
      </c>
      <c r="B144" s="8165" t="s">
        <v>16</v>
      </c>
      <c r="C144" s="8165" t="s">
        <v>2723</v>
      </c>
      <c r="D144" s="8165" t="s">
        <v>2724</v>
      </c>
      <c r="E144" s="8165" t="s">
        <v>2725</v>
      </c>
      <c r="F144" s="8165" t="s">
        <v>2537</v>
      </c>
      <c r="G144" s="8165" t="s">
        <v>28</v>
      </c>
      <c r="H144" s="8165" t="s">
        <v>28</v>
      </c>
      <c r="I144" s="8165" t="s">
        <v>982</v>
      </c>
    </row>
    <row customHeight="1" ht="11.25">
      <c r="A145" s="8165" t="s">
        <v>2380</v>
      </c>
      <c r="B145" s="8165" t="s">
        <v>16</v>
      </c>
      <c r="C145" s="8165" t="s">
        <v>2726</v>
      </c>
      <c r="D145" s="8165" t="s">
        <v>2727</v>
      </c>
      <c r="E145" s="8165" t="s">
        <v>2728</v>
      </c>
      <c r="F145" s="8165" t="s">
        <v>2384</v>
      </c>
      <c r="G145" s="8165" t="s">
        <v>28</v>
      </c>
      <c r="H145" s="8165" t="s">
        <v>28</v>
      </c>
      <c r="I145" s="8165" t="s">
        <v>982</v>
      </c>
    </row>
    <row customHeight="1" ht="11.25">
      <c r="A146" s="8165" t="s">
        <v>2380</v>
      </c>
      <c r="B146" s="8165" t="s">
        <v>16</v>
      </c>
      <c r="C146" s="8165" t="s">
        <v>2729</v>
      </c>
      <c r="D146" s="8165" t="s">
        <v>2730</v>
      </c>
      <c r="E146" s="8165" t="s">
        <v>2731</v>
      </c>
      <c r="F146" s="8165" t="s">
        <v>2502</v>
      </c>
      <c r="G146" s="8165" t="s">
        <v>2676</v>
      </c>
      <c r="H146" s="8165" t="s">
        <v>28</v>
      </c>
      <c r="I146" s="8165" t="s">
        <v>982</v>
      </c>
    </row>
    <row customHeight="1" ht="11.25">
      <c r="A147" s="8165" t="s">
        <v>2380</v>
      </c>
      <c r="B147" s="8165" t="s">
        <v>16</v>
      </c>
      <c r="C147" s="8165" t="s">
        <v>2732</v>
      </c>
      <c r="D147" s="8165" t="s">
        <v>2733</v>
      </c>
      <c r="E147" s="8165" t="s">
        <v>2734</v>
      </c>
      <c r="F147" s="8165" t="s">
        <v>2384</v>
      </c>
      <c r="G147" s="8165" t="s">
        <v>28</v>
      </c>
      <c r="H147" s="8165" t="s">
        <v>28</v>
      </c>
      <c r="I147" s="8165" t="s">
        <v>982</v>
      </c>
    </row>
    <row customHeight="1" ht="11.25">
      <c r="A148" s="8165" t="s">
        <v>2380</v>
      </c>
      <c r="B148" s="8165" t="s">
        <v>16</v>
      </c>
      <c r="C148" s="8165" t="s">
        <v>2735</v>
      </c>
      <c r="D148" s="8165" t="s">
        <v>2736</v>
      </c>
      <c r="E148" s="8165" t="s">
        <v>2737</v>
      </c>
      <c r="F148" s="8165" t="s">
        <v>2738</v>
      </c>
      <c r="G148" s="8165" t="s">
        <v>28</v>
      </c>
      <c r="H148" s="8165" t="s">
        <v>28</v>
      </c>
      <c r="I148" s="8165" t="s">
        <v>982</v>
      </c>
    </row>
    <row customHeight="1" ht="11.25">
      <c r="A149" s="8165" t="s">
        <v>2380</v>
      </c>
      <c r="B149" s="8165" t="s">
        <v>16</v>
      </c>
      <c r="C149" s="8165" t="s">
        <v>2739</v>
      </c>
      <c r="D149" s="8165" t="s">
        <v>2740</v>
      </c>
      <c r="E149" s="8165" t="s">
        <v>2741</v>
      </c>
      <c r="F149" s="8165" t="s">
        <v>2506</v>
      </c>
      <c r="G149" s="8165" t="s">
        <v>28</v>
      </c>
      <c r="H149" s="8165" t="s">
        <v>28</v>
      </c>
      <c r="I149" s="8165" t="s">
        <v>982</v>
      </c>
    </row>
    <row customHeight="1" ht="11.25">
      <c r="A150" s="8165" t="s">
        <v>2380</v>
      </c>
      <c r="B150" s="8165" t="s">
        <v>16</v>
      </c>
      <c r="C150" s="8165" t="s">
        <v>2742</v>
      </c>
      <c r="D150" s="8165" t="s">
        <v>2743</v>
      </c>
      <c r="E150" s="8165" t="s">
        <v>2744</v>
      </c>
      <c r="F150" s="8165" t="s">
        <v>2502</v>
      </c>
      <c r="G150" s="8165" t="s">
        <v>2745</v>
      </c>
      <c r="H150" s="8165" t="s">
        <v>28</v>
      </c>
      <c r="I150" s="8165" t="s">
        <v>982</v>
      </c>
    </row>
    <row customHeight="1" ht="11.25">
      <c r="A151" s="8165" t="s">
        <v>2380</v>
      </c>
      <c r="B151" s="8165" t="s">
        <v>16</v>
      </c>
      <c r="C151" s="8165" t="s">
        <v>2746</v>
      </c>
      <c r="D151" s="8165" t="s">
        <v>2747</v>
      </c>
      <c r="E151" s="8165" t="s">
        <v>2748</v>
      </c>
      <c r="F151" s="8165" t="s">
        <v>2384</v>
      </c>
      <c r="G151" s="8165" t="s">
        <v>28</v>
      </c>
      <c r="H151" s="8165" t="s">
        <v>28</v>
      </c>
      <c r="I151" s="8165" t="s">
        <v>982</v>
      </c>
    </row>
    <row customHeight="1" ht="11.25">
      <c r="A152" s="8165" t="s">
        <v>2380</v>
      </c>
      <c r="B152" s="8165" t="s">
        <v>16</v>
      </c>
      <c r="C152" s="8165" t="s">
        <v>2749</v>
      </c>
      <c r="D152" s="8165" t="s">
        <v>2750</v>
      </c>
      <c r="E152" s="8165" t="s">
        <v>2751</v>
      </c>
      <c r="F152" s="8165" t="s">
        <v>2609</v>
      </c>
      <c r="G152" s="8165" t="s">
        <v>28</v>
      </c>
      <c r="H152" s="8165" t="s">
        <v>28</v>
      </c>
      <c r="I152" s="8165" t="s">
        <v>982</v>
      </c>
    </row>
    <row customHeight="1" ht="11.25">
      <c r="A153" s="8165" t="s">
        <v>2380</v>
      </c>
      <c r="B153" s="8165" t="s">
        <v>16</v>
      </c>
      <c r="C153" s="8165" t="s">
        <v>2752</v>
      </c>
      <c r="D153" s="8165" t="s">
        <v>2753</v>
      </c>
      <c r="E153" s="8165" t="s">
        <v>2754</v>
      </c>
      <c r="F153" s="8165" t="s">
        <v>2633</v>
      </c>
      <c r="G153" s="8165" t="s">
        <v>2755</v>
      </c>
      <c r="H153" s="8165" t="s">
        <v>28</v>
      </c>
      <c r="I153" s="8165" t="s">
        <v>982</v>
      </c>
    </row>
    <row customHeight="1" ht="11.25">
      <c r="A154" s="8165" t="s">
        <v>2380</v>
      </c>
      <c r="B154" s="8165" t="s">
        <v>16</v>
      </c>
      <c r="C154" s="8165" t="s">
        <v>2432</v>
      </c>
      <c r="D154" s="8165" t="s">
        <v>2433</v>
      </c>
      <c r="E154" s="8165" t="s">
        <v>2434</v>
      </c>
      <c r="F154" s="8165" t="s">
        <v>2435</v>
      </c>
      <c r="G154" s="8165" t="s">
        <v>28</v>
      </c>
      <c r="H154" s="8165" t="s">
        <v>28</v>
      </c>
      <c r="I154" s="8165" t="s">
        <v>982</v>
      </c>
    </row>
    <row customHeight="1" ht="11.25">
      <c r="A155" s="8165" t="s">
        <v>2380</v>
      </c>
      <c r="B155" s="8165" t="s">
        <v>16</v>
      </c>
      <c r="C155" s="8165" t="s">
        <v>2436</v>
      </c>
      <c r="D155" s="8165" t="s">
        <v>2437</v>
      </c>
      <c r="E155" s="8165" t="s">
        <v>2434</v>
      </c>
      <c r="F155" s="8165" t="s">
        <v>2438</v>
      </c>
      <c r="G155" s="8165" t="s">
        <v>28</v>
      </c>
      <c r="H155" s="8165" t="s">
        <v>28</v>
      </c>
      <c r="I155" s="8165" t="s">
        <v>982</v>
      </c>
    </row>
    <row customHeight="1" ht="11.25">
      <c r="A156" s="8165" t="s">
        <v>2380</v>
      </c>
      <c r="B156" s="8165" t="s">
        <v>16</v>
      </c>
      <c r="C156" s="8165" t="s">
        <v>2442</v>
      </c>
      <c r="D156" s="8165" t="s">
        <v>2443</v>
      </c>
      <c r="E156" s="8165" t="s">
        <v>2444</v>
      </c>
      <c r="F156" s="8165" t="s">
        <v>704</v>
      </c>
      <c r="G156" s="8165" t="s">
        <v>28</v>
      </c>
      <c r="H156" s="8165" t="s">
        <v>28</v>
      </c>
      <c r="I156" s="8165" t="s">
        <v>982</v>
      </c>
    </row>
    <row customHeight="1" ht="11.25">
      <c r="A157" s="8165" t="s">
        <v>2380</v>
      </c>
      <c r="B157" s="8165" t="s">
        <v>16</v>
      </c>
      <c r="C157" s="8165" t="s">
        <v>28</v>
      </c>
      <c r="D157" s="8165" t="s">
        <v>2445</v>
      </c>
      <c r="E157" s="8165" t="s">
        <v>2446</v>
      </c>
      <c r="F157" s="8165" t="s">
        <v>2392</v>
      </c>
      <c r="G157" s="8165" t="s">
        <v>28</v>
      </c>
      <c r="H157" s="8165" t="s">
        <v>28</v>
      </c>
      <c r="I157" s="8165" t="s">
        <v>982</v>
      </c>
    </row>
    <row customHeight="1" ht="11.25">
      <c r="A158" s="8165" t="s">
        <v>2380</v>
      </c>
      <c r="B158" s="8165" t="s">
        <v>16</v>
      </c>
      <c r="C158" s="8165" t="s">
        <v>2756</v>
      </c>
      <c r="D158" s="8165" t="s">
        <v>2757</v>
      </c>
      <c r="E158" s="8165" t="s">
        <v>2758</v>
      </c>
      <c r="F158" s="8165" t="s">
        <v>2576</v>
      </c>
      <c r="G158" s="8165" t="s">
        <v>2676</v>
      </c>
      <c r="H158" s="8165" t="s">
        <v>28</v>
      </c>
      <c r="I158" s="8165" t="s">
        <v>982</v>
      </c>
    </row>
    <row customHeight="1" ht="11.25">
      <c r="A159" s="8165" t="s">
        <v>2380</v>
      </c>
      <c r="B159" s="8165" t="s">
        <v>16</v>
      </c>
      <c r="C159" s="8165" t="s">
        <v>2759</v>
      </c>
      <c r="D159" s="8165" t="s">
        <v>2760</v>
      </c>
      <c r="E159" s="8165" t="s">
        <v>2761</v>
      </c>
      <c r="F159" s="8165" t="s">
        <v>2576</v>
      </c>
      <c r="G159" s="8165" t="s">
        <v>28</v>
      </c>
      <c r="H159" s="8165" t="s">
        <v>28</v>
      </c>
      <c r="I159" s="8165" t="s">
        <v>982</v>
      </c>
    </row>
    <row customHeight="1" ht="11.25">
      <c r="A160" s="8165" t="s">
        <v>2380</v>
      </c>
      <c r="B160" s="8165" t="s">
        <v>16</v>
      </c>
      <c r="C160" s="8165" t="s">
        <v>2762</v>
      </c>
      <c r="D160" s="8165" t="s">
        <v>2763</v>
      </c>
      <c r="E160" s="8165" t="s">
        <v>2764</v>
      </c>
      <c r="F160" s="8165" t="s">
        <v>2765</v>
      </c>
      <c r="G160" s="8165" t="s">
        <v>28</v>
      </c>
      <c r="H160" s="8165" t="s">
        <v>28</v>
      </c>
      <c r="I160" s="8165" t="s">
        <v>982</v>
      </c>
    </row>
    <row customHeight="1" ht="11.25">
      <c r="A161" s="8165" t="s">
        <v>2380</v>
      </c>
      <c r="B161" s="8165" t="s">
        <v>16</v>
      </c>
      <c r="C161" s="8165" t="s">
        <v>2766</v>
      </c>
      <c r="D161" s="8165" t="s">
        <v>2767</v>
      </c>
      <c r="E161" s="8165" t="s">
        <v>2768</v>
      </c>
      <c r="F161" s="8165" t="s">
        <v>2690</v>
      </c>
      <c r="G161" s="8165" t="s">
        <v>28</v>
      </c>
      <c r="H161" s="8165" t="s">
        <v>28</v>
      </c>
      <c r="I161" s="8165" t="s">
        <v>982</v>
      </c>
    </row>
    <row customHeight="1" ht="11.25">
      <c r="A162" s="8165" t="s">
        <v>2380</v>
      </c>
      <c r="B162" s="8165" t="s">
        <v>16</v>
      </c>
      <c r="C162" s="8165" t="s">
        <v>2769</v>
      </c>
      <c r="D162" s="8165" t="s">
        <v>2770</v>
      </c>
      <c r="E162" s="8165" t="s">
        <v>2771</v>
      </c>
      <c r="F162" s="8165" t="s">
        <v>2454</v>
      </c>
      <c r="G162" s="8165" t="s">
        <v>2772</v>
      </c>
      <c r="H162" s="8165" t="s">
        <v>28</v>
      </c>
      <c r="I162" s="8165" t="s">
        <v>982</v>
      </c>
    </row>
    <row customHeight="1" ht="11.25">
      <c r="A163" s="8165" t="s">
        <v>2380</v>
      </c>
      <c r="B163" s="8165" t="s">
        <v>16</v>
      </c>
      <c r="C163" s="8165" t="s">
        <v>2773</v>
      </c>
      <c r="D163" s="8165" t="s">
        <v>2774</v>
      </c>
      <c r="E163" s="8165" t="s">
        <v>2775</v>
      </c>
      <c r="F163" s="8165" t="s">
        <v>2738</v>
      </c>
      <c r="G163" s="8165" t="s">
        <v>2776</v>
      </c>
      <c r="H163" s="8165" t="s">
        <v>28</v>
      </c>
      <c r="I163" s="8165" t="s">
        <v>982</v>
      </c>
    </row>
    <row customHeight="1" ht="11.25">
      <c r="A164" s="8165" t="s">
        <v>2380</v>
      </c>
      <c r="B164" s="8165" t="s">
        <v>16</v>
      </c>
      <c r="C164" s="8165" t="s">
        <v>2777</v>
      </c>
      <c r="D164" s="8165" t="s">
        <v>2778</v>
      </c>
      <c r="E164" s="8165" t="s">
        <v>2779</v>
      </c>
      <c r="F164" s="8165" t="s">
        <v>2421</v>
      </c>
      <c r="G164" s="8165" t="s">
        <v>28</v>
      </c>
      <c r="H164" s="8165" t="s">
        <v>28</v>
      </c>
      <c r="I164" s="8165" t="s">
        <v>982</v>
      </c>
    </row>
    <row customHeight="1" ht="11.25">
      <c r="A165" s="8165" t="s">
        <v>2380</v>
      </c>
      <c r="B165" s="8165" t="s">
        <v>16</v>
      </c>
      <c r="C165" s="8165" t="s">
        <v>2780</v>
      </c>
      <c r="D165" s="8165" t="s">
        <v>2781</v>
      </c>
      <c r="E165" s="8165" t="s">
        <v>2782</v>
      </c>
      <c r="F165" s="8165" t="s">
        <v>2576</v>
      </c>
      <c r="G165" s="8165" t="s">
        <v>28</v>
      </c>
      <c r="H165" s="8165" t="s">
        <v>28</v>
      </c>
      <c r="I165" s="8165" t="s">
        <v>982</v>
      </c>
    </row>
    <row customHeight="1" ht="11.25">
      <c r="A166" s="8165" t="s">
        <v>2380</v>
      </c>
      <c r="B166" s="8165" t="s">
        <v>16</v>
      </c>
      <c r="C166" s="8165" t="s">
        <v>2783</v>
      </c>
      <c r="D166" s="8165" t="s">
        <v>2784</v>
      </c>
      <c r="E166" s="8165" t="s">
        <v>2785</v>
      </c>
      <c r="F166" s="8165" t="s">
        <v>2576</v>
      </c>
      <c r="G166" s="8165" t="s">
        <v>28</v>
      </c>
      <c r="H166" s="8165" t="s">
        <v>28</v>
      </c>
      <c r="I166" s="8165" t="s">
        <v>982</v>
      </c>
    </row>
    <row customHeight="1" ht="11.25">
      <c r="A167" s="8165" t="s">
        <v>2380</v>
      </c>
      <c r="B167" s="8165" t="s">
        <v>16</v>
      </c>
      <c r="C167" s="8165" t="s">
        <v>2786</v>
      </c>
      <c r="D167" s="8165" t="s">
        <v>2787</v>
      </c>
      <c r="E167" s="8165" t="s">
        <v>2788</v>
      </c>
      <c r="F167" s="8165" t="s">
        <v>2502</v>
      </c>
      <c r="G167" s="8165" t="s">
        <v>28</v>
      </c>
      <c r="H167" s="8165" t="s">
        <v>28</v>
      </c>
      <c r="I167" s="8165" t="s">
        <v>982</v>
      </c>
    </row>
    <row customHeight="1" ht="11.25">
      <c r="A168" s="8165" t="s">
        <v>2380</v>
      </c>
      <c r="B168" s="8165" t="s">
        <v>16</v>
      </c>
      <c r="C168" s="8165" t="s">
        <v>2789</v>
      </c>
      <c r="D168" s="8165" t="s">
        <v>2790</v>
      </c>
      <c r="E168" s="8165" t="s">
        <v>2791</v>
      </c>
      <c r="F168" s="8165" t="s">
        <v>2792</v>
      </c>
      <c r="G168" s="8165" t="s">
        <v>28</v>
      </c>
      <c r="H168" s="8165" t="s">
        <v>28</v>
      </c>
      <c r="I168" s="8165" t="s">
        <v>982</v>
      </c>
    </row>
    <row customHeight="1" ht="11.25">
      <c r="A169" s="8165" t="s">
        <v>2380</v>
      </c>
      <c r="B169" s="8165" t="s">
        <v>16</v>
      </c>
      <c r="C169" s="8165" t="s">
        <v>2461</v>
      </c>
      <c r="D169" s="8165" t="s">
        <v>2462</v>
      </c>
      <c r="E169" s="8165" t="s">
        <v>2463</v>
      </c>
      <c r="F169" s="8165" t="s">
        <v>2384</v>
      </c>
      <c r="G169" s="8165" t="s">
        <v>2464</v>
      </c>
      <c r="H169" s="8165" t="s">
        <v>28</v>
      </c>
      <c r="I169" s="8165" t="s">
        <v>982</v>
      </c>
    </row>
    <row customHeight="1" ht="11.25">
      <c r="A170" s="8165" t="s">
        <v>2380</v>
      </c>
      <c r="B170" s="8165" t="s">
        <v>16</v>
      </c>
      <c r="C170" s="8165" t="s">
        <v>2793</v>
      </c>
      <c r="D170" s="8165" t="s">
        <v>2794</v>
      </c>
      <c r="E170" s="8165" t="s">
        <v>2795</v>
      </c>
      <c r="F170" s="8165" t="s">
        <v>2475</v>
      </c>
      <c r="G170" s="8165" t="s">
        <v>28</v>
      </c>
      <c r="H170" s="8165" t="s">
        <v>28</v>
      </c>
      <c r="I170" s="8165" t="s">
        <v>982</v>
      </c>
    </row>
    <row customHeight="1" ht="11.25">
      <c r="A171" s="8165" t="s">
        <v>2380</v>
      </c>
      <c r="B171" s="8165" t="s">
        <v>16</v>
      </c>
      <c r="C171" s="8165" t="s">
        <v>2465</v>
      </c>
      <c r="D171" s="8165" t="s">
        <v>2466</v>
      </c>
      <c r="E171" s="8165" t="s">
        <v>2467</v>
      </c>
      <c r="F171" s="8165" t="s">
        <v>2468</v>
      </c>
      <c r="G171" s="8165" t="s">
        <v>28</v>
      </c>
      <c r="H171" s="8165" t="s">
        <v>28</v>
      </c>
      <c r="I171" s="8165" t="s">
        <v>982</v>
      </c>
    </row>
    <row customHeight="1" ht="11.25">
      <c r="A172" s="8165" t="s">
        <v>2380</v>
      </c>
      <c r="B172" s="8165" t="s">
        <v>16</v>
      </c>
      <c r="C172" s="8165" t="s">
        <v>2469</v>
      </c>
      <c r="D172" s="8165" t="s">
        <v>2470</v>
      </c>
      <c r="E172" s="8165" t="s">
        <v>2471</v>
      </c>
      <c r="F172" s="8165" t="s">
        <v>2392</v>
      </c>
      <c r="G172" s="8165" t="s">
        <v>28</v>
      </c>
      <c r="H172" s="8165" t="s">
        <v>28</v>
      </c>
      <c r="I172" s="8165" t="s">
        <v>982</v>
      </c>
    </row>
    <row customHeight="1" ht="11.25">
      <c r="A173" s="8165" t="s">
        <v>2380</v>
      </c>
      <c r="B173" s="8165" t="s">
        <v>16</v>
      </c>
      <c r="C173" s="8165" t="s">
        <v>2796</v>
      </c>
      <c r="D173" s="8165" t="s">
        <v>2797</v>
      </c>
      <c r="E173" s="8165" t="s">
        <v>2798</v>
      </c>
      <c r="F173" s="8165" t="s">
        <v>2468</v>
      </c>
      <c r="G173" s="8165" t="s">
        <v>28</v>
      </c>
      <c r="H173" s="8165" t="s">
        <v>28</v>
      </c>
      <c r="I173" s="8165" t="s">
        <v>982</v>
      </c>
    </row>
    <row customHeight="1" ht="11.25">
      <c r="A174" s="8165" t="s">
        <v>2380</v>
      </c>
      <c r="B174" s="8165" t="s">
        <v>16</v>
      </c>
      <c r="C174" s="8165" t="s">
        <v>2799</v>
      </c>
      <c r="D174" s="8165" t="s">
        <v>2800</v>
      </c>
      <c r="E174" s="8165" t="s">
        <v>2801</v>
      </c>
      <c r="F174" s="8165" t="s">
        <v>2384</v>
      </c>
      <c r="G174" s="8165" t="s">
        <v>28</v>
      </c>
      <c r="H174" s="8165" t="s">
        <v>28</v>
      </c>
      <c r="I174" s="8165" t="s">
        <v>982</v>
      </c>
    </row>
    <row customHeight="1" ht="11.25">
      <c r="A175" s="8165" t="s">
        <v>2380</v>
      </c>
      <c r="B175" s="8165" t="s">
        <v>16</v>
      </c>
      <c r="C175" s="8165" t="s">
        <v>2802</v>
      </c>
      <c r="D175" s="8165" t="s">
        <v>2803</v>
      </c>
      <c r="E175" s="8165" t="s">
        <v>2804</v>
      </c>
      <c r="F175" s="8165" t="s">
        <v>2633</v>
      </c>
      <c r="G175" s="8165" t="s">
        <v>2805</v>
      </c>
      <c r="H175" s="8165" t="s">
        <v>28</v>
      </c>
      <c r="I175" s="8165" t="s">
        <v>982</v>
      </c>
    </row>
    <row customHeight="1" ht="11.25">
      <c r="A176" s="8165" t="s">
        <v>2380</v>
      </c>
      <c r="B176" s="8165" t="s">
        <v>16</v>
      </c>
      <c r="C176" s="8165" t="s">
        <v>2806</v>
      </c>
      <c r="D176" s="8165" t="s">
        <v>2807</v>
      </c>
      <c r="E176" s="8165" t="s">
        <v>2808</v>
      </c>
      <c r="F176" s="8165" t="s">
        <v>2637</v>
      </c>
      <c r="G176" s="8165" t="s">
        <v>2809</v>
      </c>
      <c r="H176" s="8165" t="s">
        <v>28</v>
      </c>
      <c r="I176" s="8165" t="s">
        <v>982</v>
      </c>
    </row>
    <row customHeight="1" ht="11.25">
      <c r="A177" s="8165" t="s">
        <v>2380</v>
      </c>
      <c r="B177" s="8165" t="s">
        <v>16</v>
      </c>
      <c r="C177" s="8165" t="s">
        <v>2476</v>
      </c>
      <c r="D177" s="8165" t="s">
        <v>2477</v>
      </c>
      <c r="E177" s="8165" t="s">
        <v>2478</v>
      </c>
      <c r="F177" s="8165" t="s">
        <v>2468</v>
      </c>
      <c r="G177" s="8165" t="s">
        <v>28</v>
      </c>
      <c r="H177" s="8165" t="s">
        <v>28</v>
      </c>
      <c r="I177" s="8165" t="s">
        <v>982</v>
      </c>
    </row>
    <row customHeight="1" ht="11.25">
      <c r="A178" s="8165" t="s">
        <v>2380</v>
      </c>
      <c r="B178" s="8165" t="s">
        <v>16</v>
      </c>
      <c r="C178" s="8165" t="s">
        <v>2810</v>
      </c>
      <c r="D178" s="8165" t="s">
        <v>2811</v>
      </c>
      <c r="E178" s="8165" t="s">
        <v>2812</v>
      </c>
      <c r="F178" s="8165" t="s">
        <v>2488</v>
      </c>
      <c r="G178" s="8165" t="s">
        <v>28</v>
      </c>
      <c r="H178" s="8165" t="s">
        <v>28</v>
      </c>
      <c r="I178" s="8165" t="s">
        <v>982</v>
      </c>
    </row>
    <row customHeight="1" ht="11.25">
      <c r="A179" s="8165" t="s">
        <v>2380</v>
      </c>
      <c r="B179" s="8165" t="s">
        <v>16</v>
      </c>
      <c r="C179" s="8165" t="s">
        <v>2813</v>
      </c>
      <c r="D179" s="8165" t="s">
        <v>2814</v>
      </c>
      <c r="E179" s="8165" t="s">
        <v>2815</v>
      </c>
      <c r="F179" s="8165" t="s">
        <v>2576</v>
      </c>
      <c r="G179" s="8165" t="s">
        <v>2816</v>
      </c>
      <c r="H179" s="8165" t="s">
        <v>28</v>
      </c>
      <c r="I179" s="8165" t="s">
        <v>982</v>
      </c>
    </row>
    <row customHeight="1" ht="11.25">
      <c r="A180" s="8165" t="s">
        <v>2380</v>
      </c>
      <c r="B180" s="8165" t="s">
        <v>16</v>
      </c>
      <c r="C180" s="8165" t="s">
        <v>2817</v>
      </c>
      <c r="D180" s="8165" t="s">
        <v>2818</v>
      </c>
      <c r="E180" s="8165" t="s">
        <v>2819</v>
      </c>
      <c r="F180" s="8165" t="s">
        <v>2468</v>
      </c>
      <c r="G180" s="8165" t="s">
        <v>2820</v>
      </c>
      <c r="H180" s="8165" t="s">
        <v>28</v>
      </c>
      <c r="I180" s="8165" t="s">
        <v>982</v>
      </c>
    </row>
    <row customHeight="1" ht="11.25">
      <c r="A181" s="8165" t="s">
        <v>2380</v>
      </c>
      <c r="B181" s="8165" t="s">
        <v>16</v>
      </c>
      <c r="C181" s="8165" t="s">
        <v>2821</v>
      </c>
      <c r="D181" s="8165" t="s">
        <v>2822</v>
      </c>
      <c r="E181" s="8165" t="s">
        <v>2823</v>
      </c>
      <c r="F181" s="8165" t="s">
        <v>2392</v>
      </c>
      <c r="G181" s="8165" t="s">
        <v>28</v>
      </c>
      <c r="H181" s="8165" t="s">
        <v>28</v>
      </c>
      <c r="I181" s="8165" t="s">
        <v>982</v>
      </c>
    </row>
    <row customHeight="1" ht="11.25">
      <c r="A182" s="8165" t="s">
        <v>2380</v>
      </c>
      <c r="B182" s="8165" t="s">
        <v>16</v>
      </c>
      <c r="C182" s="8165" t="s">
        <v>2824</v>
      </c>
      <c r="D182" s="8165" t="s">
        <v>2825</v>
      </c>
      <c r="E182" s="8165" t="s">
        <v>2826</v>
      </c>
      <c r="F182" s="8165" t="s">
        <v>2468</v>
      </c>
      <c r="G182" s="8165" t="s">
        <v>28</v>
      </c>
      <c r="H182" s="8165" t="s">
        <v>28</v>
      </c>
      <c r="I182" s="8165" t="s">
        <v>982</v>
      </c>
    </row>
    <row customHeight="1" ht="11.25">
      <c r="A183" s="8165" t="s">
        <v>2380</v>
      </c>
      <c r="B183" s="8165" t="s">
        <v>16</v>
      </c>
      <c r="C183" s="8165" t="s">
        <v>2479</v>
      </c>
      <c r="D183" s="8165" t="s">
        <v>2480</v>
      </c>
      <c r="E183" s="8165" t="s">
        <v>2481</v>
      </c>
      <c r="F183" s="8165" t="s">
        <v>2459</v>
      </c>
      <c r="G183" s="8165" t="s">
        <v>28</v>
      </c>
      <c r="H183" s="8165" t="s">
        <v>28</v>
      </c>
      <c r="I183" s="8165" t="s">
        <v>982</v>
      </c>
    </row>
    <row customHeight="1" ht="11.25">
      <c r="A184" s="8165" t="s">
        <v>2380</v>
      </c>
      <c r="B184" s="8165" t="s">
        <v>16</v>
      </c>
      <c r="C184" s="8165" t="s">
        <v>2827</v>
      </c>
      <c r="D184" s="8165" t="s">
        <v>2828</v>
      </c>
      <c r="E184" s="8165" t="s">
        <v>2829</v>
      </c>
      <c r="F184" s="8165" t="s">
        <v>2421</v>
      </c>
      <c r="G184" s="8165" t="s">
        <v>28</v>
      </c>
      <c r="H184" s="8165" t="s">
        <v>28</v>
      </c>
      <c r="I184" s="8165" t="s">
        <v>982</v>
      </c>
    </row>
    <row customHeight="1" ht="11.25">
      <c r="A185" s="8165" t="s">
        <v>2380</v>
      </c>
      <c r="B185" s="8165" t="s">
        <v>16</v>
      </c>
      <c r="C185" s="8165" t="s">
        <v>2830</v>
      </c>
      <c r="D185" s="8165" t="s">
        <v>2831</v>
      </c>
      <c r="E185" s="8165" t="s">
        <v>2832</v>
      </c>
      <c r="F185" s="8165" t="s">
        <v>2475</v>
      </c>
      <c r="G185" s="8165" t="s">
        <v>28</v>
      </c>
      <c r="H185" s="8165" t="s">
        <v>28</v>
      </c>
      <c r="I185" s="8165" t="s">
        <v>982</v>
      </c>
    </row>
    <row customHeight="1" ht="11.25">
      <c r="A186" s="8165" t="s">
        <v>2380</v>
      </c>
      <c r="B186" s="8165" t="s">
        <v>16</v>
      </c>
      <c r="C186" s="8165" t="s">
        <v>2482</v>
      </c>
      <c r="D186" s="8165" t="s">
        <v>2483</v>
      </c>
      <c r="E186" s="8165" t="s">
        <v>2484</v>
      </c>
      <c r="F186" s="8165" t="s">
        <v>2475</v>
      </c>
      <c r="G186" s="8165" t="s">
        <v>28</v>
      </c>
      <c r="H186" s="8165" t="s">
        <v>28</v>
      </c>
      <c r="I186" s="8165" t="s">
        <v>982</v>
      </c>
    </row>
    <row customHeight="1" ht="11.25">
      <c r="A187" s="8165" t="s">
        <v>2380</v>
      </c>
      <c r="B187" s="8165" t="s">
        <v>16</v>
      </c>
      <c r="C187" s="8165" t="s">
        <v>2833</v>
      </c>
      <c r="D187" s="8165" t="s">
        <v>2834</v>
      </c>
      <c r="E187" s="8165" t="s">
        <v>2835</v>
      </c>
      <c r="F187" s="8165" t="s">
        <v>2502</v>
      </c>
      <c r="G187" s="8165" t="s">
        <v>28</v>
      </c>
      <c r="H187" s="8165" t="s">
        <v>28</v>
      </c>
      <c r="I187" s="8165" t="s">
        <v>982</v>
      </c>
    </row>
    <row customHeight="1" ht="11.25">
      <c r="A188" s="8165" t="s">
        <v>2380</v>
      </c>
      <c r="B188" s="8165" t="s">
        <v>16</v>
      </c>
      <c r="C188" s="8165" t="s">
        <v>2495</v>
      </c>
      <c r="D188" s="8165" t="s">
        <v>2496</v>
      </c>
      <c r="E188" s="8165" t="s">
        <v>2497</v>
      </c>
      <c r="F188" s="8165" t="s">
        <v>2488</v>
      </c>
      <c r="G188" s="8165" t="s">
        <v>2498</v>
      </c>
      <c r="H188" s="8165" t="s">
        <v>28</v>
      </c>
      <c r="I188" s="8165" t="s">
        <v>982</v>
      </c>
    </row>
    <row customHeight="1" ht="11.25">
      <c r="A189" s="8165" t="s">
        <v>2380</v>
      </c>
      <c r="B189" s="8165" t="s">
        <v>16</v>
      </c>
      <c r="C189" s="8165" t="s">
        <v>2836</v>
      </c>
      <c r="D189" s="8165" t="s">
        <v>2837</v>
      </c>
      <c r="E189" s="8165" t="s">
        <v>2838</v>
      </c>
      <c r="F189" s="8165" t="s">
        <v>2493</v>
      </c>
      <c r="G189" s="8165" t="s">
        <v>2839</v>
      </c>
      <c r="H189" s="8165" t="s">
        <v>28</v>
      </c>
      <c r="I189" s="8165" t="s">
        <v>982</v>
      </c>
    </row>
    <row customHeight="1" ht="11.25">
      <c r="A190" s="8165" t="s">
        <v>2380</v>
      </c>
      <c r="B190" s="8165" t="s">
        <v>16</v>
      </c>
      <c r="C190" s="8165" t="s">
        <v>2840</v>
      </c>
      <c r="D190" s="8165" t="s">
        <v>2841</v>
      </c>
      <c r="E190" s="8165" t="s">
        <v>2842</v>
      </c>
      <c r="F190" s="8165" t="s">
        <v>2493</v>
      </c>
      <c r="G190" s="8165" t="s">
        <v>2843</v>
      </c>
      <c r="H190" s="8165" t="s">
        <v>28</v>
      </c>
      <c r="I190" s="8165" t="s">
        <v>982</v>
      </c>
    </row>
    <row customHeight="1" ht="11.25">
      <c r="A191" s="8165" t="s">
        <v>2380</v>
      </c>
      <c r="B191" s="8165" t="s">
        <v>16</v>
      </c>
      <c r="C191" s="8165" t="s">
        <v>2844</v>
      </c>
      <c r="D191" s="8165" t="s">
        <v>2845</v>
      </c>
      <c r="E191" s="8165" t="s">
        <v>2846</v>
      </c>
      <c r="F191" s="8165" t="s">
        <v>2502</v>
      </c>
      <c r="G191" s="8165" t="s">
        <v>28</v>
      </c>
      <c r="H191" s="8165" t="s">
        <v>28</v>
      </c>
      <c r="I191" s="8165" t="s">
        <v>982</v>
      </c>
    </row>
    <row customHeight="1" ht="11.25">
      <c r="A192" s="8165" t="s">
        <v>2380</v>
      </c>
      <c r="B192" s="8165" t="s">
        <v>16</v>
      </c>
      <c r="C192" s="8165" t="s">
        <v>2847</v>
      </c>
      <c r="D192" s="8165" t="s">
        <v>2848</v>
      </c>
      <c r="E192" s="8165" t="s">
        <v>2849</v>
      </c>
      <c r="F192" s="8165" t="s">
        <v>2431</v>
      </c>
      <c r="G192" s="8165" t="s">
        <v>28</v>
      </c>
      <c r="H192" s="8165" t="s">
        <v>28</v>
      </c>
      <c r="I192" s="8165" t="s">
        <v>982</v>
      </c>
    </row>
    <row customHeight="1" ht="11.25">
      <c r="A193" s="8165" t="s">
        <v>2380</v>
      </c>
      <c r="B193" s="8165" t="s">
        <v>16</v>
      </c>
      <c r="C193" s="8165" t="s">
        <v>13</v>
      </c>
      <c r="D193" s="8165" t="s">
        <v>47</v>
      </c>
      <c r="E193" s="8165" t="s">
        <v>50</v>
      </c>
      <c r="F193" s="8165" t="s">
        <v>52</v>
      </c>
      <c r="G193" s="8165" t="s">
        <v>28</v>
      </c>
      <c r="H193" s="8165" t="s">
        <v>28</v>
      </c>
      <c r="I193" s="8165" t="s">
        <v>982</v>
      </c>
    </row>
    <row customHeight="1" ht="11.25">
      <c r="A194" s="8165" t="s">
        <v>2380</v>
      </c>
      <c r="B194" s="8165" t="s">
        <v>16</v>
      </c>
      <c r="C194" s="8165" t="s">
        <v>2850</v>
      </c>
      <c r="D194" s="8165" t="s">
        <v>2851</v>
      </c>
      <c r="E194" s="8165" t="s">
        <v>2852</v>
      </c>
      <c r="F194" s="8165" t="s">
        <v>2613</v>
      </c>
      <c r="G194" s="8165" t="s">
        <v>28</v>
      </c>
      <c r="H194" s="8165" t="s">
        <v>28</v>
      </c>
      <c r="I194" s="8165" t="s">
        <v>982</v>
      </c>
    </row>
    <row customHeight="1" ht="11.25">
      <c r="A195" s="8165" t="s">
        <v>2380</v>
      </c>
      <c r="B195" s="8165" t="s">
        <v>16</v>
      </c>
      <c r="C195" s="8165" t="s">
        <v>2853</v>
      </c>
      <c r="D195" s="8165" t="s">
        <v>2854</v>
      </c>
      <c r="E195" s="8165" t="s">
        <v>2855</v>
      </c>
      <c r="F195" s="8165" t="s">
        <v>2537</v>
      </c>
      <c r="G195" s="8165" t="s">
        <v>28</v>
      </c>
      <c r="H195" s="8165" t="s">
        <v>28</v>
      </c>
      <c r="I195" s="8165" t="s">
        <v>982</v>
      </c>
    </row>
    <row customHeight="1" ht="11.25">
      <c r="A196" s="8165" t="s">
        <v>2380</v>
      </c>
      <c r="B196" s="8165" t="s">
        <v>16</v>
      </c>
      <c r="C196" s="8165" t="s">
        <v>2856</v>
      </c>
      <c r="D196" s="8165" t="s">
        <v>2857</v>
      </c>
      <c r="E196" s="8165" t="s">
        <v>2858</v>
      </c>
      <c r="F196" s="8165" t="s">
        <v>2392</v>
      </c>
      <c r="G196" s="8165" t="s">
        <v>28</v>
      </c>
      <c r="H196" s="8165" t="s">
        <v>28</v>
      </c>
      <c r="I196" s="8165" t="s">
        <v>982</v>
      </c>
    </row>
    <row customHeight="1" ht="11.25">
      <c r="A197" s="8165" t="s">
        <v>2380</v>
      </c>
      <c r="B197" s="8165" t="s">
        <v>16</v>
      </c>
      <c r="C197" s="8165" t="s">
        <v>2859</v>
      </c>
      <c r="D197" s="8165" t="s">
        <v>2860</v>
      </c>
      <c r="E197" s="8165" t="s">
        <v>2861</v>
      </c>
      <c r="F197" s="8165" t="s">
        <v>52</v>
      </c>
      <c r="G197" s="8165" t="s">
        <v>28</v>
      </c>
      <c r="H197" s="8165" t="s">
        <v>28</v>
      </c>
      <c r="I197" s="8165" t="s">
        <v>982</v>
      </c>
    </row>
    <row customHeight="1" ht="11.25">
      <c r="A198" s="8165" t="s">
        <v>2380</v>
      </c>
      <c r="B198" s="8165" t="s">
        <v>16</v>
      </c>
      <c r="C198" s="8165" t="s">
        <v>2862</v>
      </c>
      <c r="D198" s="8165" t="s">
        <v>2863</v>
      </c>
      <c r="E198" s="8165" t="s">
        <v>2864</v>
      </c>
      <c r="F198" s="8165" t="s">
        <v>2502</v>
      </c>
      <c r="G198" s="8165" t="s">
        <v>28</v>
      </c>
      <c r="H198" s="8165" t="s">
        <v>28</v>
      </c>
      <c r="I198" s="8165" t="s">
        <v>982</v>
      </c>
    </row>
    <row customHeight="1" ht="11.25">
      <c r="A199" s="8165" t="s">
        <v>2380</v>
      </c>
      <c r="B199" s="8165" t="s">
        <v>16</v>
      </c>
      <c r="C199" s="8165" t="s">
        <v>2865</v>
      </c>
      <c r="D199" s="8165" t="s">
        <v>2866</v>
      </c>
      <c r="E199" s="8165" t="s">
        <v>2867</v>
      </c>
      <c r="F199" s="8165" t="s">
        <v>2493</v>
      </c>
      <c r="G199" s="8165" t="s">
        <v>2868</v>
      </c>
      <c r="H199" s="8165" t="s">
        <v>28</v>
      </c>
      <c r="I199" s="8165" t="s">
        <v>982</v>
      </c>
    </row>
    <row customHeight="1" ht="11.25">
      <c r="A200" s="8165" t="s">
        <v>2380</v>
      </c>
      <c r="B200" s="8165" t="s">
        <v>16</v>
      </c>
      <c r="C200" s="8165" t="s">
        <v>2869</v>
      </c>
      <c r="D200" s="8165" t="s">
        <v>2528</v>
      </c>
      <c r="E200" s="8165" t="s">
        <v>2529</v>
      </c>
      <c r="F200" s="8165" t="s">
        <v>2475</v>
      </c>
      <c r="G200" s="8165" t="s">
        <v>28</v>
      </c>
      <c r="H200" s="8165" t="s">
        <v>28</v>
      </c>
      <c r="I200" s="8165" t="s">
        <v>982</v>
      </c>
    </row>
    <row customHeight="1" ht="11.25">
      <c r="A201" s="8165" t="s">
        <v>2380</v>
      </c>
      <c r="B201" s="8165" t="s">
        <v>16</v>
      </c>
      <c r="C201" s="8165" t="s">
        <v>2527</v>
      </c>
      <c r="D201" s="8165" t="s">
        <v>2528</v>
      </c>
      <c r="E201" s="8165" t="s">
        <v>2529</v>
      </c>
      <c r="F201" s="8165" t="s">
        <v>2530</v>
      </c>
      <c r="G201" s="8165" t="s">
        <v>28</v>
      </c>
      <c r="H201" s="8165" t="s">
        <v>28</v>
      </c>
      <c r="I201" s="8165" t="s">
        <v>982</v>
      </c>
    </row>
    <row customHeight="1" ht="11.25">
      <c r="A202" s="8165" t="s">
        <v>2380</v>
      </c>
      <c r="B202" s="8165" t="s">
        <v>16</v>
      </c>
      <c r="C202" s="8165" t="s">
        <v>2870</v>
      </c>
      <c r="D202" s="8165" t="s">
        <v>2871</v>
      </c>
      <c r="E202" s="8165" t="s">
        <v>2872</v>
      </c>
      <c r="F202" s="8165" t="s">
        <v>2572</v>
      </c>
      <c r="G202" s="8165" t="s">
        <v>28</v>
      </c>
      <c r="H202" s="8165" t="s">
        <v>28</v>
      </c>
      <c r="I202" s="8165" t="s">
        <v>982</v>
      </c>
    </row>
    <row customHeight="1" ht="11.25">
      <c r="A203" s="8165" t="s">
        <v>2380</v>
      </c>
      <c r="B203" s="8165" t="s">
        <v>16</v>
      </c>
      <c r="C203" s="8165" t="s">
        <v>2873</v>
      </c>
      <c r="D203" s="8165" t="s">
        <v>2874</v>
      </c>
      <c r="E203" s="8165" t="s">
        <v>2875</v>
      </c>
      <c r="F203" s="8165" t="s">
        <v>2421</v>
      </c>
      <c r="G203" s="8165" t="s">
        <v>28</v>
      </c>
      <c r="H203" s="8165" t="s">
        <v>28</v>
      </c>
      <c r="I203" s="8165" t="s">
        <v>982</v>
      </c>
    </row>
    <row customHeight="1" ht="11.25">
      <c r="A204" s="8165" t="s">
        <v>2380</v>
      </c>
      <c r="B204" s="8165" t="s">
        <v>16</v>
      </c>
      <c r="C204" s="8165" t="s">
        <v>2876</v>
      </c>
      <c r="D204" s="8165" t="s">
        <v>2877</v>
      </c>
      <c r="E204" s="8165" t="s">
        <v>2878</v>
      </c>
      <c r="F204" s="8165" t="s">
        <v>2468</v>
      </c>
      <c r="G204" s="8165" t="s">
        <v>28</v>
      </c>
      <c r="H204" s="8165" t="s">
        <v>28</v>
      </c>
      <c r="I204" s="8165" t="s">
        <v>982</v>
      </c>
    </row>
    <row customHeight="1" ht="11.25">
      <c r="A205" s="8165" t="s">
        <v>2380</v>
      </c>
      <c r="B205" s="8165" t="s">
        <v>16</v>
      </c>
      <c r="C205" s="8165" t="s">
        <v>2879</v>
      </c>
      <c r="D205" s="8165" t="s">
        <v>2880</v>
      </c>
      <c r="E205" s="8165" t="s">
        <v>2881</v>
      </c>
      <c r="F205" s="8165" t="s">
        <v>2792</v>
      </c>
      <c r="G205" s="8165" t="s">
        <v>28</v>
      </c>
      <c r="H205" s="8165" t="s">
        <v>28</v>
      </c>
      <c r="I205" s="8165" t="s">
        <v>982</v>
      </c>
    </row>
    <row customHeight="1" ht="11.25">
      <c r="A206" s="8165" t="s">
        <v>2380</v>
      </c>
      <c r="B206" s="8165" t="s">
        <v>16</v>
      </c>
      <c r="C206" s="8165" t="s">
        <v>2882</v>
      </c>
      <c r="D206" s="8165" t="s">
        <v>2883</v>
      </c>
      <c r="E206" s="8165" t="s">
        <v>2884</v>
      </c>
      <c r="F206" s="8165" t="s">
        <v>2554</v>
      </c>
      <c r="G206" s="8165" t="s">
        <v>28</v>
      </c>
      <c r="H206" s="8165" t="s">
        <v>28</v>
      </c>
      <c r="I206" s="8165" t="s">
        <v>982</v>
      </c>
    </row>
    <row customHeight="1" ht="11.25">
      <c r="A207" s="8165" t="s">
        <v>2380</v>
      </c>
      <c r="B207" s="8165" t="s">
        <v>16</v>
      </c>
      <c r="C207" s="8165" t="s">
        <v>2534</v>
      </c>
      <c r="D207" s="8165" t="s">
        <v>2535</v>
      </c>
      <c r="E207" s="8165" t="s">
        <v>2536</v>
      </c>
      <c r="F207" s="8165" t="s">
        <v>2537</v>
      </c>
      <c r="G207" s="8165" t="s">
        <v>28</v>
      </c>
      <c r="H207" s="8165" t="s">
        <v>28</v>
      </c>
      <c r="I207" s="8165" t="s">
        <v>982</v>
      </c>
    </row>
    <row customHeight="1" ht="11.25">
      <c r="A208" s="8165" t="s">
        <v>2380</v>
      </c>
      <c r="B208" s="8165" t="s">
        <v>16</v>
      </c>
      <c r="C208" s="8165" t="s">
        <v>2885</v>
      </c>
      <c r="D208" s="8165" t="s">
        <v>2886</v>
      </c>
      <c r="E208" s="8165" t="s">
        <v>2887</v>
      </c>
      <c r="F208" s="8165" t="s">
        <v>2537</v>
      </c>
      <c r="G208" s="8165" t="s">
        <v>28</v>
      </c>
      <c r="H208" s="8165" t="s">
        <v>28</v>
      </c>
      <c r="I208" s="8165" t="s">
        <v>982</v>
      </c>
    </row>
    <row customHeight="1" ht="11.25">
      <c r="A209" s="8165" t="s">
        <v>2380</v>
      </c>
      <c r="B209" s="8165" t="s">
        <v>16</v>
      </c>
      <c r="C209" s="8165" t="s">
        <v>2888</v>
      </c>
      <c r="D209" s="8165" t="s">
        <v>2889</v>
      </c>
      <c r="E209" s="8165" t="s">
        <v>2890</v>
      </c>
      <c r="F209" s="8165" t="s">
        <v>2637</v>
      </c>
      <c r="G209" s="8165" t="s">
        <v>28</v>
      </c>
      <c r="H209" s="8165" t="s">
        <v>28</v>
      </c>
      <c r="I209" s="8165" t="s">
        <v>982</v>
      </c>
    </row>
    <row customHeight="1" ht="11.25">
      <c r="A210" s="8165" t="s">
        <v>2380</v>
      </c>
      <c r="B210" s="8165" t="s">
        <v>16</v>
      </c>
      <c r="C210" s="8165" t="s">
        <v>2891</v>
      </c>
      <c r="D210" s="8165" t="s">
        <v>2892</v>
      </c>
      <c r="E210" s="8165" t="s">
        <v>2893</v>
      </c>
      <c r="F210" s="8165" t="s">
        <v>52</v>
      </c>
      <c r="G210" s="8165" t="s">
        <v>2894</v>
      </c>
      <c r="H210" s="8165" t="s">
        <v>28</v>
      </c>
      <c r="I210" s="8165" t="s">
        <v>982</v>
      </c>
    </row>
    <row customHeight="1" ht="11.25">
      <c r="A211" s="8165" t="s">
        <v>2380</v>
      </c>
      <c r="B211" s="8165" t="s">
        <v>16</v>
      </c>
      <c r="C211" s="8165" t="s">
        <v>2895</v>
      </c>
      <c r="D211" s="8165" t="s">
        <v>2896</v>
      </c>
      <c r="E211" s="8165" t="s">
        <v>2897</v>
      </c>
      <c r="F211" s="8165" t="s">
        <v>2592</v>
      </c>
      <c r="G211" s="8165" t="s">
        <v>28</v>
      </c>
      <c r="H211" s="8165" t="s">
        <v>28</v>
      </c>
      <c r="I211" s="8165" t="s">
        <v>982</v>
      </c>
    </row>
    <row customHeight="1" ht="11.25">
      <c r="A212" s="8165" t="s">
        <v>2380</v>
      </c>
      <c r="B212" s="8165" t="s">
        <v>16</v>
      </c>
      <c r="C212" s="8165" t="s">
        <v>2898</v>
      </c>
      <c r="D212" s="8165" t="s">
        <v>2899</v>
      </c>
      <c r="E212" s="8165" t="s">
        <v>2900</v>
      </c>
      <c r="F212" s="8165" t="s">
        <v>2901</v>
      </c>
      <c r="G212" s="8165" t="s">
        <v>28</v>
      </c>
      <c r="H212" s="8165" t="s">
        <v>28</v>
      </c>
      <c r="I212" s="8165" t="s">
        <v>982</v>
      </c>
    </row>
    <row customHeight="1" ht="11.25">
      <c r="A213" s="8165" t="s">
        <v>2380</v>
      </c>
      <c r="B213" s="8165" t="s">
        <v>16</v>
      </c>
      <c r="C213" s="8165" t="s">
        <v>2555</v>
      </c>
      <c r="D213" s="8165" t="s">
        <v>2556</v>
      </c>
      <c r="E213" s="8165" t="s">
        <v>2557</v>
      </c>
      <c r="F213" s="8165" t="s">
        <v>2475</v>
      </c>
      <c r="G213" s="8165" t="s">
        <v>28</v>
      </c>
      <c r="H213" s="8165" t="s">
        <v>28</v>
      </c>
      <c r="I213" s="8165" t="s">
        <v>982</v>
      </c>
    </row>
    <row customHeight="1" ht="11.25">
      <c r="A214" s="8165" t="s">
        <v>2380</v>
      </c>
      <c r="B214" s="8165" t="s">
        <v>16</v>
      </c>
      <c r="C214" s="8165" t="s">
        <v>2558</v>
      </c>
      <c r="D214" s="8165" t="s">
        <v>2559</v>
      </c>
      <c r="E214" s="8165" t="s">
        <v>2560</v>
      </c>
      <c r="F214" s="8165" t="s">
        <v>2561</v>
      </c>
      <c r="G214" s="8165" t="s">
        <v>2562</v>
      </c>
      <c r="H214" s="8165" t="s">
        <v>28</v>
      </c>
      <c r="I214" s="8165" t="s">
        <v>982</v>
      </c>
    </row>
    <row customHeight="1" ht="11.25">
      <c r="A215" s="8165" t="s">
        <v>2380</v>
      </c>
      <c r="B215" s="8165" t="s">
        <v>16</v>
      </c>
      <c r="C215" s="8165" t="s">
        <v>2563</v>
      </c>
      <c r="D215" s="8165" t="s">
        <v>2564</v>
      </c>
      <c r="E215" s="8165" t="s">
        <v>2565</v>
      </c>
      <c r="F215" s="8165" t="s">
        <v>2392</v>
      </c>
      <c r="G215" s="8165" t="s">
        <v>28</v>
      </c>
      <c r="H215" s="8165" t="s">
        <v>28</v>
      </c>
      <c r="I215" s="8165" t="s">
        <v>982</v>
      </c>
    </row>
    <row customHeight="1" ht="11.25">
      <c r="A216" s="8165" t="s">
        <v>2380</v>
      </c>
      <c r="B216" s="8165" t="s">
        <v>16</v>
      </c>
      <c r="C216" s="8165" t="s">
        <v>2902</v>
      </c>
      <c r="D216" s="8165" t="s">
        <v>2903</v>
      </c>
      <c r="E216" s="8165" t="s">
        <v>2904</v>
      </c>
      <c r="F216" s="8165" t="s">
        <v>2633</v>
      </c>
      <c r="G216" s="8165" t="s">
        <v>28</v>
      </c>
      <c r="H216" s="8165" t="s">
        <v>28</v>
      </c>
      <c r="I216" s="8165" t="s">
        <v>982</v>
      </c>
    </row>
    <row customHeight="1" ht="11.25">
      <c r="A217" s="8165" t="s">
        <v>2380</v>
      </c>
      <c r="B217" s="8165" t="s">
        <v>16</v>
      </c>
      <c r="C217" s="8165" t="s">
        <v>2905</v>
      </c>
      <c r="D217" s="8165" t="s">
        <v>2906</v>
      </c>
      <c r="E217" s="8165" t="s">
        <v>2907</v>
      </c>
      <c r="F217" s="8165" t="s">
        <v>2392</v>
      </c>
      <c r="G217" s="8165" t="s">
        <v>28</v>
      </c>
      <c r="H217" s="8165" t="s">
        <v>28</v>
      </c>
      <c r="I217" s="8165" t="s">
        <v>982</v>
      </c>
    </row>
    <row customHeight="1" ht="11.25">
      <c r="A218" s="8165" t="s">
        <v>2380</v>
      </c>
      <c r="B218" s="8165" t="s">
        <v>16</v>
      </c>
      <c r="C218" s="8165" t="s">
        <v>2582</v>
      </c>
      <c r="D218" s="8165" t="s">
        <v>2583</v>
      </c>
      <c r="E218" s="8165" t="s">
        <v>2584</v>
      </c>
      <c r="F218" s="8165" t="s">
        <v>52</v>
      </c>
      <c r="G218" s="8165" t="s">
        <v>28</v>
      </c>
      <c r="H218" s="8165" t="s">
        <v>28</v>
      </c>
      <c r="I218" s="8165" t="s">
        <v>982</v>
      </c>
    </row>
    <row customHeight="1" ht="11.25">
      <c r="A219" s="8165" t="s">
        <v>2380</v>
      </c>
      <c r="B219" s="8165" t="s">
        <v>16</v>
      </c>
      <c r="C219" s="8165" t="s">
        <v>2585</v>
      </c>
      <c r="D219" s="8165" t="s">
        <v>2586</v>
      </c>
      <c r="E219" s="8165" t="s">
        <v>2587</v>
      </c>
      <c r="F219" s="8165" t="s">
        <v>52</v>
      </c>
      <c r="G219" s="8165" t="s">
        <v>2588</v>
      </c>
      <c r="H219" s="8165" t="s">
        <v>28</v>
      </c>
      <c r="I219" s="8165" t="s">
        <v>982</v>
      </c>
    </row>
    <row customHeight="1" ht="11.25">
      <c r="A220" s="8165" t="s">
        <v>2380</v>
      </c>
      <c r="B220" s="8165" t="s">
        <v>16</v>
      </c>
      <c r="C220" s="8165" t="s">
        <v>2908</v>
      </c>
      <c r="D220" s="8165" t="s">
        <v>2909</v>
      </c>
      <c r="E220" s="8165" t="s">
        <v>2910</v>
      </c>
      <c r="F220" s="8165" t="s">
        <v>2576</v>
      </c>
      <c r="G220" s="8165" t="s">
        <v>28</v>
      </c>
      <c r="H220" s="8165" t="s">
        <v>28</v>
      </c>
      <c r="I220" s="8165" t="s">
        <v>982</v>
      </c>
    </row>
    <row customHeight="1" ht="11.25">
      <c r="A221" s="8165" t="s">
        <v>2380</v>
      </c>
      <c r="B221" s="8165" t="s">
        <v>16</v>
      </c>
      <c r="C221" s="8165" t="s">
        <v>2589</v>
      </c>
      <c r="D221" s="8165" t="s">
        <v>2590</v>
      </c>
      <c r="E221" s="8165" t="s">
        <v>2591</v>
      </c>
      <c r="F221" s="8165" t="s">
        <v>2592</v>
      </c>
      <c r="G221" s="8165" t="s">
        <v>28</v>
      </c>
      <c r="H221" s="8165" t="s">
        <v>28</v>
      </c>
      <c r="I221" s="8165" t="s">
        <v>982</v>
      </c>
    </row>
    <row customHeight="1" ht="11.25">
      <c r="A222" s="8165" t="s">
        <v>2380</v>
      </c>
      <c r="B222" s="8165" t="s">
        <v>16</v>
      </c>
      <c r="C222" s="8165" t="s">
        <v>2597</v>
      </c>
      <c r="D222" s="8165" t="s">
        <v>2598</v>
      </c>
      <c r="E222" s="8165" t="s">
        <v>2599</v>
      </c>
      <c r="F222" s="8165" t="s">
        <v>2454</v>
      </c>
      <c r="G222" s="8165" t="s">
        <v>28</v>
      </c>
      <c r="H222" s="8165" t="s">
        <v>28</v>
      </c>
      <c r="I222" s="8165" t="s">
        <v>982</v>
      </c>
    </row>
    <row customHeight="1" ht="11.25">
      <c r="A223" s="8165" t="s">
        <v>2380</v>
      </c>
      <c r="B223" s="8165" t="s">
        <v>16</v>
      </c>
      <c r="C223" s="8165" t="s">
        <v>2603</v>
      </c>
      <c r="D223" s="8165" t="s">
        <v>2604</v>
      </c>
      <c r="E223" s="8165" t="s">
        <v>2605</v>
      </c>
      <c r="F223" s="8165" t="s">
        <v>2384</v>
      </c>
      <c r="G223" s="8165" t="s">
        <v>28</v>
      </c>
      <c r="H223" s="8165" t="s">
        <v>28</v>
      </c>
      <c r="I223" s="8165" t="s">
        <v>982</v>
      </c>
    </row>
    <row customHeight="1" ht="11.25">
      <c r="A224" s="8165" t="s">
        <v>2380</v>
      </c>
      <c r="B224" s="8165" t="s">
        <v>16</v>
      </c>
      <c r="C224" s="8165" t="s">
        <v>2911</v>
      </c>
      <c r="D224" s="8165" t="s">
        <v>2912</v>
      </c>
      <c r="E224" s="8165" t="s">
        <v>2913</v>
      </c>
      <c r="F224" s="8165" t="s">
        <v>2690</v>
      </c>
      <c r="G224" s="8165" t="s">
        <v>28</v>
      </c>
      <c r="H224" s="8165" t="s">
        <v>28</v>
      </c>
      <c r="I224" s="8165" t="s">
        <v>982</v>
      </c>
    </row>
    <row customHeight="1" ht="11.25">
      <c r="A225" s="8165" t="s">
        <v>2380</v>
      </c>
      <c r="B225" s="8165" t="s">
        <v>16</v>
      </c>
      <c r="C225" s="8165" t="s">
        <v>2914</v>
      </c>
      <c r="D225" s="8165" t="s">
        <v>2915</v>
      </c>
      <c r="E225" s="8165" t="s">
        <v>2916</v>
      </c>
      <c r="F225" s="8165" t="s">
        <v>2592</v>
      </c>
      <c r="G225" s="8165" t="s">
        <v>2917</v>
      </c>
      <c r="H225" s="8165" t="s">
        <v>28</v>
      </c>
      <c r="I225" s="8165" t="s">
        <v>982</v>
      </c>
    </row>
    <row customHeight="1" ht="11.25">
      <c r="A226" s="8165" t="s">
        <v>2380</v>
      </c>
      <c r="B226" s="8165" t="s">
        <v>16</v>
      </c>
      <c r="C226" s="8165" t="s">
        <v>2918</v>
      </c>
      <c r="D226" s="8165" t="s">
        <v>2919</v>
      </c>
      <c r="E226" s="8165" t="s">
        <v>2920</v>
      </c>
      <c r="F226" s="8165" t="s">
        <v>2921</v>
      </c>
      <c r="G226" s="8165" t="s">
        <v>28</v>
      </c>
      <c r="H226" s="8165" t="s">
        <v>28</v>
      </c>
      <c r="I226" s="8165" t="s">
        <v>982</v>
      </c>
    </row>
    <row customHeight="1" ht="11.25">
      <c r="A227" s="8165" t="s">
        <v>2380</v>
      </c>
      <c r="B227" s="8165" t="s">
        <v>16</v>
      </c>
      <c r="C227" s="8165" t="s">
        <v>2606</v>
      </c>
      <c r="D227" s="8165" t="s">
        <v>2607</v>
      </c>
      <c r="E227" s="8165" t="s">
        <v>2608</v>
      </c>
      <c r="F227" s="8165" t="s">
        <v>2609</v>
      </c>
      <c r="G227" s="8165" t="s">
        <v>28</v>
      </c>
      <c r="H227" s="8165" t="s">
        <v>28</v>
      </c>
      <c r="I227" s="8165" t="s">
        <v>982</v>
      </c>
    </row>
    <row customHeight="1" ht="11.25">
      <c r="A228" s="8165" t="s">
        <v>2380</v>
      </c>
      <c r="B228" s="8165" t="s">
        <v>16</v>
      </c>
      <c r="C228" s="8165" t="s">
        <v>2922</v>
      </c>
      <c r="D228" s="8165" t="s">
        <v>2923</v>
      </c>
      <c r="E228" s="8165" t="s">
        <v>2924</v>
      </c>
      <c r="F228" s="8165" t="s">
        <v>2613</v>
      </c>
      <c r="G228" s="8165" t="s">
        <v>28</v>
      </c>
      <c r="H228" s="8165" t="s">
        <v>28</v>
      </c>
      <c r="I228" s="8165" t="s">
        <v>982</v>
      </c>
    </row>
    <row customHeight="1" ht="11.25">
      <c r="A229" s="8165" t="s">
        <v>2380</v>
      </c>
      <c r="B229" s="8165" t="s">
        <v>16</v>
      </c>
      <c r="C229" s="8165" t="s">
        <v>2925</v>
      </c>
      <c r="D229" s="8165" t="s">
        <v>2926</v>
      </c>
      <c r="E229" s="8165" t="s">
        <v>2927</v>
      </c>
      <c r="F229" s="8165" t="s">
        <v>2488</v>
      </c>
      <c r="G229" s="8165" t="s">
        <v>28</v>
      </c>
      <c r="H229" s="8165" t="s">
        <v>28</v>
      </c>
      <c r="I229" s="8165" t="s">
        <v>982</v>
      </c>
    </row>
    <row customHeight="1" ht="11.25">
      <c r="A230" s="8165" t="s">
        <v>2380</v>
      </c>
      <c r="B230" s="8165" t="s">
        <v>16</v>
      </c>
      <c r="C230" s="8165" t="s">
        <v>2624</v>
      </c>
      <c r="D230" s="8165" t="s">
        <v>2625</v>
      </c>
      <c r="E230" s="8165" t="s">
        <v>2626</v>
      </c>
      <c r="F230" s="8165" t="s">
        <v>2592</v>
      </c>
      <c r="G230" s="8165" t="s">
        <v>28</v>
      </c>
      <c r="H230" s="8165" t="s">
        <v>28</v>
      </c>
      <c r="I230" s="8165" t="s">
        <v>982</v>
      </c>
    </row>
    <row customHeight="1" ht="11.25">
      <c r="A231" s="8165" t="s">
        <v>2380</v>
      </c>
      <c r="B231" s="8165" t="s">
        <v>16</v>
      </c>
      <c r="C231" s="8165" t="s">
        <v>2630</v>
      </c>
      <c r="D231" s="8165" t="s">
        <v>2631</v>
      </c>
      <c r="E231" s="8165" t="s">
        <v>2632</v>
      </c>
      <c r="F231" s="8165" t="s">
        <v>2633</v>
      </c>
      <c r="G231" s="8165" t="s">
        <v>28</v>
      </c>
      <c r="H231" s="8165" t="s">
        <v>28</v>
      </c>
      <c r="I231" s="8165" t="s">
        <v>982</v>
      </c>
    </row>
    <row customHeight="1" ht="11.25">
      <c r="A232" s="8165" t="s">
        <v>2380</v>
      </c>
      <c r="B232" s="8165" t="s">
        <v>16</v>
      </c>
      <c r="C232" s="8165" t="s">
        <v>2928</v>
      </c>
      <c r="D232" s="8165" t="s">
        <v>2929</v>
      </c>
      <c r="E232" s="8165" t="s">
        <v>2930</v>
      </c>
      <c r="F232" s="8165" t="s">
        <v>2633</v>
      </c>
      <c r="G232" s="8165" t="s">
        <v>28</v>
      </c>
      <c r="H232" s="8165" t="s">
        <v>28</v>
      </c>
      <c r="I232" s="8165" t="s">
        <v>982</v>
      </c>
    </row>
    <row customHeight="1" ht="11.25">
      <c r="A233" s="8165" t="s">
        <v>2380</v>
      </c>
      <c r="B233" s="8165" t="s">
        <v>16</v>
      </c>
      <c r="C233" s="8165" t="s">
        <v>2638</v>
      </c>
      <c r="D233" s="8165" t="s">
        <v>2639</v>
      </c>
      <c r="E233" s="8165" t="s">
        <v>2640</v>
      </c>
      <c r="F233" s="8165" t="s">
        <v>2641</v>
      </c>
      <c r="G233" s="8165" t="s">
        <v>2642</v>
      </c>
      <c r="H233" s="8165" t="s">
        <v>28</v>
      </c>
      <c r="I233" s="8165" t="s">
        <v>982</v>
      </c>
    </row>
    <row customHeight="1" ht="11.25">
      <c r="A234" s="8165" t="s">
        <v>2380</v>
      </c>
      <c r="B234" s="8165" t="s">
        <v>16</v>
      </c>
      <c r="C234" s="8165" t="s">
        <v>2643</v>
      </c>
      <c r="D234" s="8165" t="s">
        <v>2644</v>
      </c>
      <c r="E234" s="8165" t="s">
        <v>2396</v>
      </c>
      <c r="F234" s="8165" t="s">
        <v>2645</v>
      </c>
      <c r="G234" s="8165" t="s">
        <v>28</v>
      </c>
      <c r="H234" s="8165" t="s">
        <v>28</v>
      </c>
      <c r="I234" s="8165" t="s">
        <v>982</v>
      </c>
    </row>
    <row customHeight="1" ht="11.25">
      <c r="A235" s="8165" t="s">
        <v>2380</v>
      </c>
      <c r="B235" s="8165" t="s">
        <v>16</v>
      </c>
      <c r="C235" s="8165" t="s">
        <v>2646</v>
      </c>
      <c r="D235" s="8165" t="s">
        <v>2647</v>
      </c>
      <c r="E235" s="8165" t="s">
        <v>2411</v>
      </c>
      <c r="F235" s="8165" t="s">
        <v>2475</v>
      </c>
      <c r="G235" s="8165" t="s">
        <v>28</v>
      </c>
      <c r="H235" s="8165" t="s">
        <v>28</v>
      </c>
      <c r="I235" s="8165" t="s">
        <v>982</v>
      </c>
    </row>
    <row customHeight="1" ht="11.25">
      <c r="A236" s="8165" t="s">
        <v>2380</v>
      </c>
      <c r="B236" s="8165" t="s">
        <v>16</v>
      </c>
      <c r="C236" s="8165" t="s">
        <v>2931</v>
      </c>
      <c r="D236" s="8165" t="s">
        <v>2932</v>
      </c>
      <c r="E236" s="8165" t="s">
        <v>2933</v>
      </c>
      <c r="F236" s="8165" t="s">
        <v>2400</v>
      </c>
      <c r="G236" s="8165" t="s">
        <v>28</v>
      </c>
      <c r="H236" s="8165" t="s">
        <v>28</v>
      </c>
      <c r="I236" s="8165" t="s">
        <v>982</v>
      </c>
    </row>
    <row customHeight="1" ht="11.25">
      <c r="A237" s="8165" t="s">
        <v>2380</v>
      </c>
      <c r="B237" s="8165" t="s">
        <v>16</v>
      </c>
      <c r="C237" s="8165" t="s">
        <v>2934</v>
      </c>
      <c r="D237" s="8165" t="s">
        <v>2935</v>
      </c>
      <c r="E237" s="8165" t="s">
        <v>2936</v>
      </c>
      <c r="F237" s="8165" t="s">
        <v>2633</v>
      </c>
      <c r="G237" s="8165" t="s">
        <v>2937</v>
      </c>
      <c r="H237" s="8165" t="s">
        <v>28</v>
      </c>
      <c r="I237" s="8165" t="s">
        <v>982</v>
      </c>
    </row>
    <row customHeight="1" ht="11.25">
      <c r="A238" s="8165" t="s">
        <v>2380</v>
      </c>
      <c r="B238" s="8165" t="s">
        <v>16</v>
      </c>
      <c r="C238" s="8165" t="s">
        <v>2938</v>
      </c>
      <c r="D238" s="8165" t="s">
        <v>2939</v>
      </c>
      <c r="E238" s="8165" t="s">
        <v>2940</v>
      </c>
      <c r="F238" s="8165" t="s">
        <v>2633</v>
      </c>
      <c r="G238" s="8165" t="s">
        <v>28</v>
      </c>
      <c r="H238" s="8165" t="s">
        <v>28</v>
      </c>
      <c r="I238" s="8165" t="s">
        <v>982</v>
      </c>
    </row>
    <row customHeight="1" ht="11.25">
      <c r="A239" s="8165" t="s">
        <v>2380</v>
      </c>
      <c r="B239" s="8165" t="s">
        <v>16</v>
      </c>
      <c r="C239" s="8165" t="s">
        <v>2941</v>
      </c>
      <c r="D239" s="8165" t="s">
        <v>2942</v>
      </c>
      <c r="E239" s="8165" t="s">
        <v>2943</v>
      </c>
      <c r="F239" s="8165" t="s">
        <v>2765</v>
      </c>
      <c r="G239" s="8165" t="s">
        <v>2944</v>
      </c>
      <c r="H239" s="8165" t="s">
        <v>28</v>
      </c>
      <c r="I239" s="8165" t="s">
        <v>982</v>
      </c>
    </row>
    <row customHeight="1" ht="11.25">
      <c r="A240" s="8165" t="s">
        <v>2380</v>
      </c>
      <c r="B240" s="8165" t="s">
        <v>16</v>
      </c>
      <c r="C240" s="8165" t="s">
        <v>2945</v>
      </c>
      <c r="D240" s="8165" t="s">
        <v>2946</v>
      </c>
      <c r="E240" s="8165" t="s">
        <v>2947</v>
      </c>
      <c r="F240" s="8165" t="s">
        <v>2765</v>
      </c>
      <c r="G240" s="8165" t="s">
        <v>28</v>
      </c>
      <c r="H240" s="8165" t="s">
        <v>28</v>
      </c>
      <c r="I240" s="8165" t="s">
        <v>982</v>
      </c>
    </row>
    <row customHeight="1" ht="11.25">
      <c r="A241" s="8165" t="s">
        <v>2380</v>
      </c>
      <c r="B241" s="8165" t="s">
        <v>16</v>
      </c>
      <c r="C241" s="8165" t="s">
        <v>2948</v>
      </c>
      <c r="D241" s="8165" t="s">
        <v>2949</v>
      </c>
      <c r="E241" s="8165" t="s">
        <v>2950</v>
      </c>
      <c r="F241" s="8165" t="s">
        <v>2454</v>
      </c>
      <c r="G241" s="8165" t="s">
        <v>28</v>
      </c>
      <c r="H241" s="8165" t="s">
        <v>28</v>
      </c>
      <c r="I241" s="8165" t="s">
        <v>982</v>
      </c>
    </row>
    <row customHeight="1" ht="11.25">
      <c r="A242" s="8165" t="s">
        <v>2380</v>
      </c>
      <c r="B242" s="8165" t="s">
        <v>16</v>
      </c>
      <c r="C242" s="8165" t="s">
        <v>2651</v>
      </c>
      <c r="D242" s="8165" t="s">
        <v>2652</v>
      </c>
      <c r="E242" s="8165" t="s">
        <v>2653</v>
      </c>
      <c r="F242" s="8165" t="s">
        <v>2576</v>
      </c>
      <c r="G242" s="8165" t="s">
        <v>28</v>
      </c>
      <c r="H242" s="8165" t="s">
        <v>28</v>
      </c>
      <c r="I242" s="8165" t="s">
        <v>982</v>
      </c>
    </row>
    <row customHeight="1" ht="11.25">
      <c r="A243" s="8165" t="s">
        <v>2380</v>
      </c>
      <c r="B243" s="8165" t="s">
        <v>16</v>
      </c>
      <c r="C243" s="8165" t="s">
        <v>2951</v>
      </c>
      <c r="D243" s="8165" t="s">
        <v>2952</v>
      </c>
      <c r="E243" s="8165" t="s">
        <v>2953</v>
      </c>
      <c r="F243" s="8165" t="s">
        <v>2392</v>
      </c>
      <c r="G243" s="8165" t="s">
        <v>28</v>
      </c>
      <c r="H243" s="8165" t="s">
        <v>28</v>
      </c>
      <c r="I243" s="8165" t="s">
        <v>982</v>
      </c>
    </row>
    <row customHeight="1" ht="11.25">
      <c r="A244" s="8165" t="s">
        <v>2380</v>
      </c>
      <c r="B244" s="8165" t="s">
        <v>16</v>
      </c>
      <c r="C244" s="8165" t="s">
        <v>2654</v>
      </c>
      <c r="D244" s="8165" t="s">
        <v>2655</v>
      </c>
      <c r="E244" s="8165" t="s">
        <v>2434</v>
      </c>
      <c r="F244" s="8165" t="s">
        <v>2656</v>
      </c>
      <c r="G244" s="8165" t="s">
        <v>28</v>
      </c>
      <c r="H244" s="8165" t="s">
        <v>28</v>
      </c>
      <c r="I244" s="8165" t="s">
        <v>982</v>
      </c>
    </row>
    <row customHeight="1" ht="11.25">
      <c r="A245" s="8165" t="s">
        <v>2380</v>
      </c>
      <c r="B245" s="8165" t="s">
        <v>16</v>
      </c>
      <c r="C245" s="8165" t="s">
        <v>2659</v>
      </c>
      <c r="D245" s="8165" t="s">
        <v>2660</v>
      </c>
      <c r="E245" s="8165" t="s">
        <v>2661</v>
      </c>
      <c r="F245" s="8165" t="s">
        <v>2662</v>
      </c>
      <c r="G245" s="8165" t="s">
        <v>28</v>
      </c>
      <c r="H245" s="8165" t="s">
        <v>28</v>
      </c>
      <c r="I245" s="8165" t="s">
        <v>982</v>
      </c>
    </row>
    <row customHeight="1" ht="11.25">
      <c r="A246" s="8165" t="s">
        <v>2380</v>
      </c>
      <c r="B246" s="8165" t="s">
        <v>16</v>
      </c>
      <c r="C246" s="8165" t="s">
        <v>2381</v>
      </c>
      <c r="D246" s="8165" t="s">
        <v>2382</v>
      </c>
      <c r="E246" s="8165" t="s">
        <v>2383</v>
      </c>
      <c r="F246" s="8165" t="s">
        <v>2384</v>
      </c>
      <c r="G246" s="8165" t="s">
        <v>28</v>
      </c>
      <c r="H246" s="8165" t="s">
        <v>28</v>
      </c>
      <c r="I246" s="8165" t="s">
        <v>1035</v>
      </c>
    </row>
    <row customHeight="1" ht="11.25">
      <c r="A247" s="8165" t="s">
        <v>2380</v>
      </c>
      <c r="B247" s="8165" t="s">
        <v>16</v>
      </c>
      <c r="C247" s="8165" t="s">
        <v>2954</v>
      </c>
      <c r="D247" s="8165" t="s">
        <v>2955</v>
      </c>
      <c r="E247" s="8165" t="s">
        <v>2956</v>
      </c>
      <c r="F247" s="8165" t="s">
        <v>2421</v>
      </c>
      <c r="G247" s="8165" t="s">
        <v>28</v>
      </c>
      <c r="H247" s="8165" t="s">
        <v>28</v>
      </c>
      <c r="I247" s="8165" t="s">
        <v>1035</v>
      </c>
    </row>
    <row customHeight="1" ht="11.25">
      <c r="A248" s="8165" t="s">
        <v>2380</v>
      </c>
      <c r="B248" s="8165" t="s">
        <v>16</v>
      </c>
      <c r="C248" s="8165" t="s">
        <v>2957</v>
      </c>
      <c r="D248" s="8165" t="s">
        <v>2958</v>
      </c>
      <c r="E248" s="8165" t="s">
        <v>2959</v>
      </c>
      <c r="F248" s="8165" t="s">
        <v>2459</v>
      </c>
      <c r="G248" s="8165" t="s">
        <v>28</v>
      </c>
      <c r="H248" s="8165" t="s">
        <v>28</v>
      </c>
      <c r="I248" s="8165" t="s">
        <v>1035</v>
      </c>
    </row>
    <row customHeight="1" ht="11.25">
      <c r="A249" s="8165" t="s">
        <v>2380</v>
      </c>
      <c r="B249" s="8165" t="s">
        <v>16</v>
      </c>
      <c r="C249" s="8165" t="s">
        <v>2398</v>
      </c>
      <c r="D249" s="8165" t="s">
        <v>2399</v>
      </c>
      <c r="E249" s="8165" t="s">
        <v>2396</v>
      </c>
      <c r="F249" s="8165" t="s">
        <v>2400</v>
      </c>
      <c r="G249" s="8165" t="s">
        <v>28</v>
      </c>
      <c r="H249" s="8165" t="s">
        <v>28</v>
      </c>
      <c r="I249" s="8165" t="s">
        <v>1035</v>
      </c>
    </row>
    <row customHeight="1" ht="11.25">
      <c r="A250" s="8165" t="s">
        <v>2380</v>
      </c>
      <c r="B250" s="8165" t="s">
        <v>16</v>
      </c>
      <c r="C250" s="8165" t="s">
        <v>2401</v>
      </c>
      <c r="D250" s="8165" t="s">
        <v>2402</v>
      </c>
      <c r="E250" s="8165" t="s">
        <v>2403</v>
      </c>
      <c r="F250" s="8165" t="s">
        <v>2404</v>
      </c>
      <c r="G250" s="8165" t="s">
        <v>28</v>
      </c>
      <c r="H250" s="8165" t="s">
        <v>28</v>
      </c>
      <c r="I250" s="8165" t="s">
        <v>1035</v>
      </c>
    </row>
    <row customHeight="1" ht="11.25">
      <c r="A251" s="8165" t="s">
        <v>2380</v>
      </c>
      <c r="B251" s="8165" t="s">
        <v>16</v>
      </c>
      <c r="C251" s="8165" t="s">
        <v>2405</v>
      </c>
      <c r="D251" s="8165" t="s">
        <v>2406</v>
      </c>
      <c r="E251" s="8165" t="s">
        <v>2407</v>
      </c>
      <c r="F251" s="8165" t="s">
        <v>2392</v>
      </c>
      <c r="G251" s="8165" t="s">
        <v>2408</v>
      </c>
      <c r="H251" s="8165" t="s">
        <v>28</v>
      </c>
      <c r="I251" s="8165" t="s">
        <v>1035</v>
      </c>
    </row>
    <row customHeight="1" ht="11.25">
      <c r="A252" s="8165" t="s">
        <v>2380</v>
      </c>
      <c r="B252" s="8165" t="s">
        <v>16</v>
      </c>
      <c r="C252" s="8165" t="s">
        <v>2699</v>
      </c>
      <c r="D252" s="8165" t="s">
        <v>2700</v>
      </c>
      <c r="E252" s="8165" t="s">
        <v>2701</v>
      </c>
      <c r="F252" s="8165" t="s">
        <v>2392</v>
      </c>
      <c r="G252" s="8165" t="s">
        <v>28</v>
      </c>
      <c r="H252" s="8165" t="s">
        <v>28</v>
      </c>
      <c r="I252" s="8165" t="s">
        <v>1035</v>
      </c>
    </row>
    <row customHeight="1" ht="11.25">
      <c r="A253" s="8165" t="s">
        <v>2380</v>
      </c>
      <c r="B253" s="8165" t="s">
        <v>16</v>
      </c>
      <c r="C253" s="8165" t="s">
        <v>2409</v>
      </c>
      <c r="D253" s="8165" t="s">
        <v>2410</v>
      </c>
      <c r="E253" s="8165" t="s">
        <v>2411</v>
      </c>
      <c r="F253" s="8165" t="s">
        <v>2412</v>
      </c>
      <c r="G253" s="8165" t="s">
        <v>2413</v>
      </c>
      <c r="H253" s="8165" t="s">
        <v>28</v>
      </c>
      <c r="I253" s="8165" t="s">
        <v>1035</v>
      </c>
    </row>
    <row customHeight="1" ht="11.25">
      <c r="A254" s="8165" t="s">
        <v>2380</v>
      </c>
      <c r="B254" s="8165" t="s">
        <v>16</v>
      </c>
      <c r="C254" s="8165" t="s">
        <v>2418</v>
      </c>
      <c r="D254" s="8165" t="s">
        <v>2419</v>
      </c>
      <c r="E254" s="8165" t="s">
        <v>2420</v>
      </c>
      <c r="F254" s="8165" t="s">
        <v>2421</v>
      </c>
      <c r="G254" s="8165" t="s">
        <v>28</v>
      </c>
      <c r="H254" s="8165" t="s">
        <v>28</v>
      </c>
      <c r="I254" s="8165" t="s">
        <v>1035</v>
      </c>
    </row>
    <row customHeight="1" ht="11.25">
      <c r="A255" s="8165" t="s">
        <v>2380</v>
      </c>
      <c r="B255" s="8165" t="s">
        <v>16</v>
      </c>
      <c r="C255" s="8165" t="s">
        <v>2702</v>
      </c>
      <c r="D255" s="8165" t="s">
        <v>2703</v>
      </c>
      <c r="E255" s="8165" t="s">
        <v>2704</v>
      </c>
      <c r="F255" s="8165" t="s">
        <v>2502</v>
      </c>
      <c r="G255" s="8165" t="s">
        <v>28</v>
      </c>
      <c r="H255" s="8165" t="s">
        <v>28</v>
      </c>
      <c r="I255" s="8165" t="s">
        <v>1035</v>
      </c>
    </row>
    <row customHeight="1" ht="11.25">
      <c r="A256" s="8165" t="s">
        <v>2380</v>
      </c>
      <c r="B256" s="8165" t="s">
        <v>16</v>
      </c>
      <c r="C256" s="8165" t="s">
        <v>2960</v>
      </c>
      <c r="D256" s="8165" t="s">
        <v>2961</v>
      </c>
      <c r="E256" s="8165" t="s">
        <v>2962</v>
      </c>
      <c r="F256" s="8165" t="s">
        <v>2475</v>
      </c>
      <c r="G256" s="8165" t="s">
        <v>28</v>
      </c>
      <c r="H256" s="8165" t="s">
        <v>28</v>
      </c>
      <c r="I256" s="8165" t="s">
        <v>1035</v>
      </c>
    </row>
    <row customHeight="1" ht="11.25">
      <c r="A257" s="8165" t="s">
        <v>2380</v>
      </c>
      <c r="B257" s="8165" t="s">
        <v>16</v>
      </c>
      <c r="C257" s="8165" t="s">
        <v>2436</v>
      </c>
      <c r="D257" s="8165" t="s">
        <v>2437</v>
      </c>
      <c r="E257" s="8165" t="s">
        <v>2434</v>
      </c>
      <c r="F257" s="8165" t="s">
        <v>2438</v>
      </c>
      <c r="G257" s="8165" t="s">
        <v>28</v>
      </c>
      <c r="H257" s="8165" t="s">
        <v>28</v>
      </c>
      <c r="I257" s="8165" t="s">
        <v>1035</v>
      </c>
    </row>
    <row customHeight="1" ht="11.25">
      <c r="A258" s="8165" t="s">
        <v>2380</v>
      </c>
      <c r="B258" s="8165" t="s">
        <v>16</v>
      </c>
      <c r="C258" s="8165" t="s">
        <v>2963</v>
      </c>
      <c r="D258" s="8165" t="s">
        <v>2964</v>
      </c>
      <c r="E258" s="8165" t="s">
        <v>2965</v>
      </c>
      <c r="F258" s="8165" t="s">
        <v>2966</v>
      </c>
      <c r="G258" s="8165" t="s">
        <v>28</v>
      </c>
      <c r="H258" s="8165" t="s">
        <v>28</v>
      </c>
      <c r="I258" s="8165" t="s">
        <v>1035</v>
      </c>
    </row>
    <row customHeight="1" ht="11.25">
      <c r="A259" s="8165" t="s">
        <v>2380</v>
      </c>
      <c r="B259" s="8165" t="s">
        <v>16</v>
      </c>
      <c r="C259" s="8165" t="s">
        <v>2442</v>
      </c>
      <c r="D259" s="8165" t="s">
        <v>2443</v>
      </c>
      <c r="E259" s="8165" t="s">
        <v>2444</v>
      </c>
      <c r="F259" s="8165" t="s">
        <v>704</v>
      </c>
      <c r="G259" s="8165" t="s">
        <v>28</v>
      </c>
      <c r="H259" s="8165" t="s">
        <v>28</v>
      </c>
      <c r="I259" s="8165" t="s">
        <v>1035</v>
      </c>
    </row>
    <row customHeight="1" ht="11.25">
      <c r="A260" s="8165" t="s">
        <v>2380</v>
      </c>
      <c r="B260" s="8165" t="s">
        <v>16</v>
      </c>
      <c r="C260" s="8165" t="s">
        <v>2967</v>
      </c>
      <c r="D260" s="8165" t="s">
        <v>2968</v>
      </c>
      <c r="E260" s="8165" t="s">
        <v>2969</v>
      </c>
      <c r="F260" s="8165" t="s">
        <v>704</v>
      </c>
      <c r="G260" s="8165" t="s">
        <v>28</v>
      </c>
      <c r="H260" s="8165" t="s">
        <v>28</v>
      </c>
      <c r="I260" s="8165" t="s">
        <v>1035</v>
      </c>
    </row>
    <row customHeight="1" ht="11.25">
      <c r="A261" s="8165" t="s">
        <v>2380</v>
      </c>
      <c r="B261" s="8165" t="s">
        <v>16</v>
      </c>
      <c r="C261" s="8165" t="s">
        <v>28</v>
      </c>
      <c r="D261" s="8165" t="s">
        <v>2445</v>
      </c>
      <c r="E261" s="8165" t="s">
        <v>2446</v>
      </c>
      <c r="F261" s="8165" t="s">
        <v>2392</v>
      </c>
      <c r="G261" s="8165" t="s">
        <v>28</v>
      </c>
      <c r="H261" s="8165" t="s">
        <v>28</v>
      </c>
      <c r="I261" s="8165" t="s">
        <v>1035</v>
      </c>
    </row>
    <row customHeight="1" ht="11.25">
      <c r="A262" s="8165" t="s">
        <v>2380</v>
      </c>
      <c r="B262" s="8165" t="s">
        <v>16</v>
      </c>
      <c r="C262" s="8165" t="s">
        <v>2756</v>
      </c>
      <c r="D262" s="8165" t="s">
        <v>2757</v>
      </c>
      <c r="E262" s="8165" t="s">
        <v>2758</v>
      </c>
      <c r="F262" s="8165" t="s">
        <v>2576</v>
      </c>
      <c r="G262" s="8165" t="s">
        <v>2676</v>
      </c>
      <c r="H262" s="8165" t="s">
        <v>28</v>
      </c>
      <c r="I262" s="8165" t="s">
        <v>1035</v>
      </c>
    </row>
    <row customHeight="1" ht="11.25">
      <c r="A263" s="8165" t="s">
        <v>2380</v>
      </c>
      <c r="B263" s="8165" t="s">
        <v>16</v>
      </c>
      <c r="C263" s="8165" t="s">
        <v>2762</v>
      </c>
      <c r="D263" s="8165" t="s">
        <v>2763</v>
      </c>
      <c r="E263" s="8165" t="s">
        <v>2764</v>
      </c>
      <c r="F263" s="8165" t="s">
        <v>2765</v>
      </c>
      <c r="G263" s="8165" t="s">
        <v>28</v>
      </c>
      <c r="H263" s="8165" t="s">
        <v>28</v>
      </c>
      <c r="I263" s="8165" t="s">
        <v>1035</v>
      </c>
    </row>
    <row customHeight="1" ht="11.25">
      <c r="A264" s="8165" t="s">
        <v>2380</v>
      </c>
      <c r="B264" s="8165" t="s">
        <v>16</v>
      </c>
      <c r="C264" s="8165" t="s">
        <v>2769</v>
      </c>
      <c r="D264" s="8165" t="s">
        <v>2770</v>
      </c>
      <c r="E264" s="8165" t="s">
        <v>2771</v>
      </c>
      <c r="F264" s="8165" t="s">
        <v>2454</v>
      </c>
      <c r="G264" s="8165" t="s">
        <v>2772</v>
      </c>
      <c r="H264" s="8165" t="s">
        <v>28</v>
      </c>
      <c r="I264" s="8165" t="s">
        <v>1035</v>
      </c>
    </row>
    <row customHeight="1" ht="11.25">
      <c r="A265" s="8165" t="s">
        <v>2380</v>
      </c>
      <c r="B265" s="8165" t="s">
        <v>16</v>
      </c>
      <c r="C265" s="8165" t="s">
        <v>2773</v>
      </c>
      <c r="D265" s="8165" t="s">
        <v>2774</v>
      </c>
      <c r="E265" s="8165" t="s">
        <v>2775</v>
      </c>
      <c r="F265" s="8165" t="s">
        <v>2738</v>
      </c>
      <c r="G265" s="8165" t="s">
        <v>2776</v>
      </c>
      <c r="H265" s="8165" t="s">
        <v>28</v>
      </c>
      <c r="I265" s="8165" t="s">
        <v>1035</v>
      </c>
    </row>
    <row customHeight="1" ht="11.25">
      <c r="A266" s="8165" t="s">
        <v>2380</v>
      </c>
      <c r="B266" s="8165" t="s">
        <v>16</v>
      </c>
      <c r="C266" s="8165" t="s">
        <v>2783</v>
      </c>
      <c r="D266" s="8165" t="s">
        <v>2784</v>
      </c>
      <c r="E266" s="8165" t="s">
        <v>2785</v>
      </c>
      <c r="F266" s="8165" t="s">
        <v>2576</v>
      </c>
      <c r="G266" s="8165" t="s">
        <v>28</v>
      </c>
      <c r="H266" s="8165" t="s">
        <v>28</v>
      </c>
      <c r="I266" s="8165" t="s">
        <v>1035</v>
      </c>
    </row>
    <row customHeight="1" ht="11.25">
      <c r="A267" s="8165" t="s">
        <v>2380</v>
      </c>
      <c r="B267" s="8165" t="s">
        <v>16</v>
      </c>
      <c r="C267" s="8165" t="s">
        <v>2786</v>
      </c>
      <c r="D267" s="8165" t="s">
        <v>2787</v>
      </c>
      <c r="E267" s="8165" t="s">
        <v>2788</v>
      </c>
      <c r="F267" s="8165" t="s">
        <v>2502</v>
      </c>
      <c r="G267" s="8165" t="s">
        <v>28</v>
      </c>
      <c r="H267" s="8165" t="s">
        <v>28</v>
      </c>
      <c r="I267" s="8165" t="s">
        <v>1035</v>
      </c>
    </row>
    <row customHeight="1" ht="11.25">
      <c r="A268" s="8165" t="s">
        <v>2380</v>
      </c>
      <c r="B268" s="8165" t="s">
        <v>16</v>
      </c>
      <c r="C268" s="8165" t="s">
        <v>2789</v>
      </c>
      <c r="D268" s="8165" t="s">
        <v>2790</v>
      </c>
      <c r="E268" s="8165" t="s">
        <v>2791</v>
      </c>
      <c r="F268" s="8165" t="s">
        <v>2792</v>
      </c>
      <c r="G268" s="8165" t="s">
        <v>28</v>
      </c>
      <c r="H268" s="8165" t="s">
        <v>28</v>
      </c>
      <c r="I268" s="8165" t="s">
        <v>1035</v>
      </c>
    </row>
    <row customHeight="1" ht="11.25">
      <c r="A269" s="8165" t="s">
        <v>2380</v>
      </c>
      <c r="B269" s="8165" t="s">
        <v>16</v>
      </c>
      <c r="C269" s="8165" t="s">
        <v>2793</v>
      </c>
      <c r="D269" s="8165" t="s">
        <v>2794</v>
      </c>
      <c r="E269" s="8165" t="s">
        <v>2795</v>
      </c>
      <c r="F269" s="8165" t="s">
        <v>2475</v>
      </c>
      <c r="G269" s="8165" t="s">
        <v>28</v>
      </c>
      <c r="H269" s="8165" t="s">
        <v>28</v>
      </c>
      <c r="I269" s="8165" t="s">
        <v>1035</v>
      </c>
    </row>
    <row customHeight="1" ht="11.25">
      <c r="A270" s="8165" t="s">
        <v>2380</v>
      </c>
      <c r="B270" s="8165" t="s">
        <v>16</v>
      </c>
      <c r="C270" s="8165" t="s">
        <v>2465</v>
      </c>
      <c r="D270" s="8165" t="s">
        <v>2466</v>
      </c>
      <c r="E270" s="8165" t="s">
        <v>2467</v>
      </c>
      <c r="F270" s="8165" t="s">
        <v>2468</v>
      </c>
      <c r="G270" s="8165" t="s">
        <v>28</v>
      </c>
      <c r="H270" s="8165" t="s">
        <v>28</v>
      </c>
      <c r="I270" s="8165" t="s">
        <v>1035</v>
      </c>
    </row>
    <row customHeight="1" ht="11.25">
      <c r="A271" s="8165" t="s">
        <v>2380</v>
      </c>
      <c r="B271" s="8165" t="s">
        <v>16</v>
      </c>
      <c r="C271" s="8165" t="s">
        <v>2796</v>
      </c>
      <c r="D271" s="8165" t="s">
        <v>2797</v>
      </c>
      <c r="E271" s="8165" t="s">
        <v>2798</v>
      </c>
      <c r="F271" s="8165" t="s">
        <v>2468</v>
      </c>
      <c r="G271" s="8165" t="s">
        <v>28</v>
      </c>
      <c r="H271" s="8165" t="s">
        <v>28</v>
      </c>
      <c r="I271" s="8165" t="s">
        <v>1035</v>
      </c>
    </row>
    <row customHeight="1" ht="11.25">
      <c r="A272" s="8165" t="s">
        <v>2380</v>
      </c>
      <c r="B272" s="8165" t="s">
        <v>16</v>
      </c>
      <c r="C272" s="8165" t="s">
        <v>2802</v>
      </c>
      <c r="D272" s="8165" t="s">
        <v>2803</v>
      </c>
      <c r="E272" s="8165" t="s">
        <v>2804</v>
      </c>
      <c r="F272" s="8165" t="s">
        <v>2633</v>
      </c>
      <c r="G272" s="8165" t="s">
        <v>2805</v>
      </c>
      <c r="H272" s="8165" t="s">
        <v>28</v>
      </c>
      <c r="I272" s="8165" t="s">
        <v>1035</v>
      </c>
    </row>
    <row customHeight="1" ht="11.25">
      <c r="A273" s="8165" t="s">
        <v>2380</v>
      </c>
      <c r="B273" s="8165" t="s">
        <v>16</v>
      </c>
      <c r="C273" s="8165" t="s">
        <v>2806</v>
      </c>
      <c r="D273" s="8165" t="s">
        <v>2807</v>
      </c>
      <c r="E273" s="8165" t="s">
        <v>2808</v>
      </c>
      <c r="F273" s="8165" t="s">
        <v>2637</v>
      </c>
      <c r="G273" s="8165" t="s">
        <v>2809</v>
      </c>
      <c r="H273" s="8165" t="s">
        <v>28</v>
      </c>
      <c r="I273" s="8165" t="s">
        <v>1035</v>
      </c>
    </row>
    <row customHeight="1" ht="11.25">
      <c r="A274" s="8165" t="s">
        <v>2380</v>
      </c>
      <c r="B274" s="8165" t="s">
        <v>16</v>
      </c>
      <c r="C274" s="8165" t="s">
        <v>2476</v>
      </c>
      <c r="D274" s="8165" t="s">
        <v>2477</v>
      </c>
      <c r="E274" s="8165" t="s">
        <v>2478</v>
      </c>
      <c r="F274" s="8165" t="s">
        <v>2468</v>
      </c>
      <c r="G274" s="8165" t="s">
        <v>28</v>
      </c>
      <c r="H274" s="8165" t="s">
        <v>28</v>
      </c>
      <c r="I274" s="8165" t="s">
        <v>1035</v>
      </c>
    </row>
    <row customHeight="1" ht="11.25">
      <c r="A275" s="8165" t="s">
        <v>2380</v>
      </c>
      <c r="B275" s="8165" t="s">
        <v>16</v>
      </c>
      <c r="C275" s="8165" t="s">
        <v>2810</v>
      </c>
      <c r="D275" s="8165" t="s">
        <v>2811</v>
      </c>
      <c r="E275" s="8165" t="s">
        <v>2812</v>
      </c>
      <c r="F275" s="8165" t="s">
        <v>2488</v>
      </c>
      <c r="G275" s="8165" t="s">
        <v>28</v>
      </c>
      <c r="H275" s="8165" t="s">
        <v>28</v>
      </c>
      <c r="I275" s="8165" t="s">
        <v>1035</v>
      </c>
    </row>
    <row customHeight="1" ht="11.25">
      <c r="A276" s="8165" t="s">
        <v>2380</v>
      </c>
      <c r="B276" s="8165" t="s">
        <v>16</v>
      </c>
      <c r="C276" s="8165" t="s">
        <v>2813</v>
      </c>
      <c r="D276" s="8165" t="s">
        <v>2814</v>
      </c>
      <c r="E276" s="8165" t="s">
        <v>2815</v>
      </c>
      <c r="F276" s="8165" t="s">
        <v>2576</v>
      </c>
      <c r="G276" s="8165" t="s">
        <v>2816</v>
      </c>
      <c r="H276" s="8165" t="s">
        <v>28</v>
      </c>
      <c r="I276" s="8165" t="s">
        <v>1035</v>
      </c>
    </row>
    <row customHeight="1" ht="11.25">
      <c r="A277" s="8165" t="s">
        <v>2380</v>
      </c>
      <c r="B277" s="8165" t="s">
        <v>16</v>
      </c>
      <c r="C277" s="8165" t="s">
        <v>2817</v>
      </c>
      <c r="D277" s="8165" t="s">
        <v>2818</v>
      </c>
      <c r="E277" s="8165" t="s">
        <v>2819</v>
      </c>
      <c r="F277" s="8165" t="s">
        <v>2468</v>
      </c>
      <c r="G277" s="8165" t="s">
        <v>2820</v>
      </c>
      <c r="H277" s="8165" t="s">
        <v>28</v>
      </c>
      <c r="I277" s="8165" t="s">
        <v>1035</v>
      </c>
    </row>
    <row customHeight="1" ht="11.25">
      <c r="A278" s="8165" t="s">
        <v>2380</v>
      </c>
      <c r="B278" s="8165" t="s">
        <v>16</v>
      </c>
      <c r="C278" s="8165" t="s">
        <v>2821</v>
      </c>
      <c r="D278" s="8165" t="s">
        <v>2822</v>
      </c>
      <c r="E278" s="8165" t="s">
        <v>2823</v>
      </c>
      <c r="F278" s="8165" t="s">
        <v>2392</v>
      </c>
      <c r="G278" s="8165" t="s">
        <v>28</v>
      </c>
      <c r="H278" s="8165" t="s">
        <v>28</v>
      </c>
      <c r="I278" s="8165" t="s">
        <v>1035</v>
      </c>
    </row>
    <row customHeight="1" ht="11.25">
      <c r="A279" s="8165" t="s">
        <v>2380</v>
      </c>
      <c r="B279" s="8165" t="s">
        <v>16</v>
      </c>
      <c r="C279" s="8165" t="s">
        <v>2824</v>
      </c>
      <c r="D279" s="8165" t="s">
        <v>2825</v>
      </c>
      <c r="E279" s="8165" t="s">
        <v>2826</v>
      </c>
      <c r="F279" s="8165" t="s">
        <v>2468</v>
      </c>
      <c r="G279" s="8165" t="s">
        <v>28</v>
      </c>
      <c r="H279" s="8165" t="s">
        <v>28</v>
      </c>
      <c r="I279" s="8165" t="s">
        <v>1035</v>
      </c>
    </row>
    <row customHeight="1" ht="11.25">
      <c r="A280" s="8165" t="s">
        <v>2380</v>
      </c>
      <c r="B280" s="8165" t="s">
        <v>16</v>
      </c>
      <c r="C280" s="8165" t="s">
        <v>2479</v>
      </c>
      <c r="D280" s="8165" t="s">
        <v>2480</v>
      </c>
      <c r="E280" s="8165" t="s">
        <v>2481</v>
      </c>
      <c r="F280" s="8165" t="s">
        <v>2459</v>
      </c>
      <c r="G280" s="8165" t="s">
        <v>28</v>
      </c>
      <c r="H280" s="8165" t="s">
        <v>28</v>
      </c>
      <c r="I280" s="8165" t="s">
        <v>1035</v>
      </c>
    </row>
    <row customHeight="1" ht="11.25">
      <c r="A281" s="8165" t="s">
        <v>2380</v>
      </c>
      <c r="B281" s="8165" t="s">
        <v>16</v>
      </c>
      <c r="C281" s="8165" t="s">
        <v>2827</v>
      </c>
      <c r="D281" s="8165" t="s">
        <v>2828</v>
      </c>
      <c r="E281" s="8165" t="s">
        <v>2829</v>
      </c>
      <c r="F281" s="8165" t="s">
        <v>2421</v>
      </c>
      <c r="G281" s="8165" t="s">
        <v>28</v>
      </c>
      <c r="H281" s="8165" t="s">
        <v>28</v>
      </c>
      <c r="I281" s="8165" t="s">
        <v>1035</v>
      </c>
    </row>
    <row customHeight="1" ht="11.25">
      <c r="A282" s="8165" t="s">
        <v>2380</v>
      </c>
      <c r="B282" s="8165" t="s">
        <v>16</v>
      </c>
      <c r="C282" s="8165" t="s">
        <v>2830</v>
      </c>
      <c r="D282" s="8165" t="s">
        <v>2831</v>
      </c>
      <c r="E282" s="8165" t="s">
        <v>2832</v>
      </c>
      <c r="F282" s="8165" t="s">
        <v>2475</v>
      </c>
      <c r="G282" s="8165" t="s">
        <v>28</v>
      </c>
      <c r="H282" s="8165" t="s">
        <v>28</v>
      </c>
      <c r="I282" s="8165" t="s">
        <v>1035</v>
      </c>
    </row>
    <row customHeight="1" ht="11.25">
      <c r="A283" s="8165" t="s">
        <v>2380</v>
      </c>
      <c r="B283" s="8165" t="s">
        <v>16</v>
      </c>
      <c r="C283" s="8165" t="s">
        <v>2482</v>
      </c>
      <c r="D283" s="8165" t="s">
        <v>2483</v>
      </c>
      <c r="E283" s="8165" t="s">
        <v>2484</v>
      </c>
      <c r="F283" s="8165" t="s">
        <v>2475</v>
      </c>
      <c r="G283" s="8165" t="s">
        <v>28</v>
      </c>
      <c r="H283" s="8165" t="s">
        <v>28</v>
      </c>
      <c r="I283" s="8165" t="s">
        <v>1035</v>
      </c>
    </row>
    <row customHeight="1" ht="11.25">
      <c r="A284" s="8165" t="s">
        <v>2380</v>
      </c>
      <c r="B284" s="8165" t="s">
        <v>16</v>
      </c>
      <c r="C284" s="8165" t="s">
        <v>2495</v>
      </c>
      <c r="D284" s="8165" t="s">
        <v>2496</v>
      </c>
      <c r="E284" s="8165" t="s">
        <v>2497</v>
      </c>
      <c r="F284" s="8165" t="s">
        <v>2488</v>
      </c>
      <c r="G284" s="8165" t="s">
        <v>2498</v>
      </c>
      <c r="H284" s="8165" t="s">
        <v>28</v>
      </c>
      <c r="I284" s="8165" t="s">
        <v>1035</v>
      </c>
    </row>
    <row customHeight="1" ht="11.25">
      <c r="A285" s="8165" t="s">
        <v>2380</v>
      </c>
      <c r="B285" s="8165" t="s">
        <v>16</v>
      </c>
      <c r="C285" s="8165" t="s">
        <v>2844</v>
      </c>
      <c r="D285" s="8165" t="s">
        <v>2845</v>
      </c>
      <c r="E285" s="8165" t="s">
        <v>2846</v>
      </c>
      <c r="F285" s="8165" t="s">
        <v>2502</v>
      </c>
      <c r="G285" s="8165" t="s">
        <v>28</v>
      </c>
      <c r="H285" s="8165" t="s">
        <v>28</v>
      </c>
      <c r="I285" s="8165" t="s">
        <v>1035</v>
      </c>
    </row>
    <row customHeight="1" ht="11.25">
      <c r="A286" s="8165" t="s">
        <v>2380</v>
      </c>
      <c r="B286" s="8165" t="s">
        <v>16</v>
      </c>
      <c r="C286" s="8165" t="s">
        <v>13</v>
      </c>
      <c r="D286" s="8165" t="s">
        <v>47</v>
      </c>
      <c r="E286" s="8165" t="s">
        <v>50</v>
      </c>
      <c r="F286" s="8165" t="s">
        <v>52</v>
      </c>
      <c r="G286" s="8165" t="s">
        <v>28</v>
      </c>
      <c r="H286" s="8165" t="s">
        <v>28</v>
      </c>
      <c r="I286" s="8165" t="s">
        <v>1035</v>
      </c>
    </row>
    <row customHeight="1" ht="11.25">
      <c r="A287" s="8165" t="s">
        <v>2380</v>
      </c>
      <c r="B287" s="8165" t="s">
        <v>16</v>
      </c>
      <c r="C287" s="8165" t="s">
        <v>2850</v>
      </c>
      <c r="D287" s="8165" t="s">
        <v>2851</v>
      </c>
      <c r="E287" s="8165" t="s">
        <v>2852</v>
      </c>
      <c r="F287" s="8165" t="s">
        <v>2613</v>
      </c>
      <c r="G287" s="8165" t="s">
        <v>28</v>
      </c>
      <c r="H287" s="8165" t="s">
        <v>28</v>
      </c>
      <c r="I287" s="8165" t="s">
        <v>1035</v>
      </c>
    </row>
    <row customHeight="1" ht="11.25">
      <c r="A288" s="8165" t="s">
        <v>2380</v>
      </c>
      <c r="B288" s="8165" t="s">
        <v>16</v>
      </c>
      <c r="C288" s="8165" t="s">
        <v>2862</v>
      </c>
      <c r="D288" s="8165" t="s">
        <v>2863</v>
      </c>
      <c r="E288" s="8165" t="s">
        <v>2864</v>
      </c>
      <c r="F288" s="8165" t="s">
        <v>2502</v>
      </c>
      <c r="G288" s="8165" t="s">
        <v>28</v>
      </c>
      <c r="H288" s="8165" t="s">
        <v>28</v>
      </c>
      <c r="I288" s="8165" t="s">
        <v>1035</v>
      </c>
    </row>
    <row customHeight="1" ht="11.25">
      <c r="A289" s="8165" t="s">
        <v>2380</v>
      </c>
      <c r="B289" s="8165" t="s">
        <v>16</v>
      </c>
      <c r="C289" s="8165" t="s">
        <v>2865</v>
      </c>
      <c r="D289" s="8165" t="s">
        <v>2866</v>
      </c>
      <c r="E289" s="8165" t="s">
        <v>2867</v>
      </c>
      <c r="F289" s="8165" t="s">
        <v>2493</v>
      </c>
      <c r="G289" s="8165" t="s">
        <v>2868</v>
      </c>
      <c r="H289" s="8165" t="s">
        <v>28</v>
      </c>
      <c r="I289" s="8165" t="s">
        <v>1035</v>
      </c>
    </row>
    <row customHeight="1" ht="11.25">
      <c r="A290" s="8165" t="s">
        <v>2380</v>
      </c>
      <c r="B290" s="8165" t="s">
        <v>16</v>
      </c>
      <c r="C290" s="8165" t="s">
        <v>2869</v>
      </c>
      <c r="D290" s="8165" t="s">
        <v>2528</v>
      </c>
      <c r="E290" s="8165" t="s">
        <v>2529</v>
      </c>
      <c r="F290" s="8165" t="s">
        <v>2475</v>
      </c>
      <c r="G290" s="8165" t="s">
        <v>28</v>
      </c>
      <c r="H290" s="8165" t="s">
        <v>28</v>
      </c>
      <c r="I290" s="8165" t="s">
        <v>1035</v>
      </c>
    </row>
    <row customHeight="1" ht="11.25">
      <c r="A291" s="8165" t="s">
        <v>2380</v>
      </c>
      <c r="B291" s="8165" t="s">
        <v>16</v>
      </c>
      <c r="C291" s="8165" t="s">
        <v>2527</v>
      </c>
      <c r="D291" s="8165" t="s">
        <v>2528</v>
      </c>
      <c r="E291" s="8165" t="s">
        <v>2529</v>
      </c>
      <c r="F291" s="8165" t="s">
        <v>2530</v>
      </c>
      <c r="G291" s="8165" t="s">
        <v>28</v>
      </c>
      <c r="H291" s="8165" t="s">
        <v>28</v>
      </c>
      <c r="I291" s="8165" t="s">
        <v>1035</v>
      </c>
    </row>
    <row customHeight="1" ht="11.25">
      <c r="A292" s="8165" t="s">
        <v>2380</v>
      </c>
      <c r="B292" s="8165" t="s">
        <v>16</v>
      </c>
      <c r="C292" s="8165" t="s">
        <v>2870</v>
      </c>
      <c r="D292" s="8165" t="s">
        <v>2871</v>
      </c>
      <c r="E292" s="8165" t="s">
        <v>2872</v>
      </c>
      <c r="F292" s="8165" t="s">
        <v>2572</v>
      </c>
      <c r="G292" s="8165" t="s">
        <v>28</v>
      </c>
      <c r="H292" s="8165" t="s">
        <v>28</v>
      </c>
      <c r="I292" s="8165" t="s">
        <v>1035</v>
      </c>
    </row>
    <row customHeight="1" ht="11.25">
      <c r="A293" s="8165" t="s">
        <v>2380</v>
      </c>
      <c r="B293" s="8165" t="s">
        <v>16</v>
      </c>
      <c r="C293" s="8165" t="s">
        <v>2873</v>
      </c>
      <c r="D293" s="8165" t="s">
        <v>2874</v>
      </c>
      <c r="E293" s="8165" t="s">
        <v>2875</v>
      </c>
      <c r="F293" s="8165" t="s">
        <v>2421</v>
      </c>
      <c r="G293" s="8165" t="s">
        <v>28</v>
      </c>
      <c r="H293" s="8165" t="s">
        <v>28</v>
      </c>
      <c r="I293" s="8165" t="s">
        <v>1035</v>
      </c>
    </row>
    <row customHeight="1" ht="11.25">
      <c r="A294" s="8165" t="s">
        <v>2380</v>
      </c>
      <c r="B294" s="8165" t="s">
        <v>16</v>
      </c>
      <c r="C294" s="8165" t="s">
        <v>2876</v>
      </c>
      <c r="D294" s="8165" t="s">
        <v>2877</v>
      </c>
      <c r="E294" s="8165" t="s">
        <v>2878</v>
      </c>
      <c r="F294" s="8165" t="s">
        <v>2468</v>
      </c>
      <c r="G294" s="8165" t="s">
        <v>28</v>
      </c>
      <c r="H294" s="8165" t="s">
        <v>28</v>
      </c>
      <c r="I294" s="8165" t="s">
        <v>1035</v>
      </c>
    </row>
    <row customHeight="1" ht="11.25">
      <c r="A295" s="8165" t="s">
        <v>2380</v>
      </c>
      <c r="B295" s="8165" t="s">
        <v>16</v>
      </c>
      <c r="C295" s="8165" t="s">
        <v>2879</v>
      </c>
      <c r="D295" s="8165" t="s">
        <v>2880</v>
      </c>
      <c r="E295" s="8165" t="s">
        <v>2881</v>
      </c>
      <c r="F295" s="8165" t="s">
        <v>2792</v>
      </c>
      <c r="G295" s="8165" t="s">
        <v>28</v>
      </c>
      <c r="H295" s="8165" t="s">
        <v>28</v>
      </c>
      <c r="I295" s="8165" t="s">
        <v>1035</v>
      </c>
    </row>
    <row customHeight="1" ht="11.25">
      <c r="A296" s="8165" t="s">
        <v>2380</v>
      </c>
      <c r="B296" s="8165" t="s">
        <v>16</v>
      </c>
      <c r="C296" s="8165" t="s">
        <v>2882</v>
      </c>
      <c r="D296" s="8165" t="s">
        <v>2883</v>
      </c>
      <c r="E296" s="8165" t="s">
        <v>2884</v>
      </c>
      <c r="F296" s="8165" t="s">
        <v>2554</v>
      </c>
      <c r="G296" s="8165" t="s">
        <v>28</v>
      </c>
      <c r="H296" s="8165" t="s">
        <v>28</v>
      </c>
      <c r="I296" s="8165" t="s">
        <v>1035</v>
      </c>
    </row>
    <row customHeight="1" ht="11.25">
      <c r="A297" s="8165" t="s">
        <v>2380</v>
      </c>
      <c r="B297" s="8165" t="s">
        <v>16</v>
      </c>
      <c r="C297" s="8165" t="s">
        <v>2534</v>
      </c>
      <c r="D297" s="8165" t="s">
        <v>2535</v>
      </c>
      <c r="E297" s="8165" t="s">
        <v>2536</v>
      </c>
      <c r="F297" s="8165" t="s">
        <v>2537</v>
      </c>
      <c r="G297" s="8165" t="s">
        <v>28</v>
      </c>
      <c r="H297" s="8165" t="s">
        <v>28</v>
      </c>
      <c r="I297" s="8165" t="s">
        <v>1035</v>
      </c>
    </row>
    <row customHeight="1" ht="11.25">
      <c r="A298" s="8165" t="s">
        <v>2380</v>
      </c>
      <c r="B298" s="8165" t="s">
        <v>16</v>
      </c>
      <c r="C298" s="8165" t="s">
        <v>2885</v>
      </c>
      <c r="D298" s="8165" t="s">
        <v>2886</v>
      </c>
      <c r="E298" s="8165" t="s">
        <v>2887</v>
      </c>
      <c r="F298" s="8165" t="s">
        <v>2537</v>
      </c>
      <c r="G298" s="8165" t="s">
        <v>28</v>
      </c>
      <c r="H298" s="8165" t="s">
        <v>28</v>
      </c>
      <c r="I298" s="8165" t="s">
        <v>1035</v>
      </c>
    </row>
    <row customHeight="1" ht="11.25">
      <c r="A299" s="8165" t="s">
        <v>2380</v>
      </c>
      <c r="B299" s="8165" t="s">
        <v>16</v>
      </c>
      <c r="C299" s="8165" t="s">
        <v>2888</v>
      </c>
      <c r="D299" s="8165" t="s">
        <v>2889</v>
      </c>
      <c r="E299" s="8165" t="s">
        <v>2890</v>
      </c>
      <c r="F299" s="8165" t="s">
        <v>2637</v>
      </c>
      <c r="G299" s="8165" t="s">
        <v>28</v>
      </c>
      <c r="H299" s="8165" t="s">
        <v>28</v>
      </c>
      <c r="I299" s="8165" t="s">
        <v>1035</v>
      </c>
    </row>
    <row customHeight="1" ht="11.25">
      <c r="A300" s="8165" t="s">
        <v>2380</v>
      </c>
      <c r="B300" s="8165" t="s">
        <v>16</v>
      </c>
      <c r="C300" s="8165" t="s">
        <v>2898</v>
      </c>
      <c r="D300" s="8165" t="s">
        <v>2899</v>
      </c>
      <c r="E300" s="8165" t="s">
        <v>2900</v>
      </c>
      <c r="F300" s="8165" t="s">
        <v>2901</v>
      </c>
      <c r="G300" s="8165" t="s">
        <v>28</v>
      </c>
      <c r="H300" s="8165" t="s">
        <v>28</v>
      </c>
      <c r="I300" s="8165" t="s">
        <v>1035</v>
      </c>
    </row>
    <row customHeight="1" ht="11.25">
      <c r="A301" s="8165" t="s">
        <v>2380</v>
      </c>
      <c r="B301" s="8165" t="s">
        <v>16</v>
      </c>
      <c r="C301" s="8165" t="s">
        <v>2555</v>
      </c>
      <c r="D301" s="8165" t="s">
        <v>2556</v>
      </c>
      <c r="E301" s="8165" t="s">
        <v>2557</v>
      </c>
      <c r="F301" s="8165" t="s">
        <v>2475</v>
      </c>
      <c r="G301" s="8165" t="s">
        <v>28</v>
      </c>
      <c r="H301" s="8165" t="s">
        <v>28</v>
      </c>
      <c r="I301" s="8165" t="s">
        <v>1035</v>
      </c>
    </row>
    <row customHeight="1" ht="11.25">
      <c r="A302" s="8165" t="s">
        <v>2380</v>
      </c>
      <c r="B302" s="8165" t="s">
        <v>16</v>
      </c>
      <c r="C302" s="8165" t="s">
        <v>2558</v>
      </c>
      <c r="D302" s="8165" t="s">
        <v>2559</v>
      </c>
      <c r="E302" s="8165" t="s">
        <v>2560</v>
      </c>
      <c r="F302" s="8165" t="s">
        <v>2561</v>
      </c>
      <c r="G302" s="8165" t="s">
        <v>2562</v>
      </c>
      <c r="H302" s="8165" t="s">
        <v>28</v>
      </c>
      <c r="I302" s="8165" t="s">
        <v>1035</v>
      </c>
    </row>
    <row customHeight="1" ht="11.25">
      <c r="A303" s="8165" t="s">
        <v>2380</v>
      </c>
      <c r="B303" s="8165" t="s">
        <v>16</v>
      </c>
      <c r="C303" s="8165" t="s">
        <v>2563</v>
      </c>
      <c r="D303" s="8165" t="s">
        <v>2564</v>
      </c>
      <c r="E303" s="8165" t="s">
        <v>2565</v>
      </c>
      <c r="F303" s="8165" t="s">
        <v>2392</v>
      </c>
      <c r="G303" s="8165" t="s">
        <v>28</v>
      </c>
      <c r="H303" s="8165" t="s">
        <v>28</v>
      </c>
      <c r="I303" s="8165" t="s">
        <v>1035</v>
      </c>
    </row>
    <row customHeight="1" ht="11.25">
      <c r="A304" s="8165" t="s">
        <v>2380</v>
      </c>
      <c r="B304" s="8165" t="s">
        <v>16</v>
      </c>
      <c r="C304" s="8165" t="s">
        <v>2970</v>
      </c>
      <c r="D304" s="8165" t="s">
        <v>2971</v>
      </c>
      <c r="E304" s="8165" t="s">
        <v>2972</v>
      </c>
      <c r="F304" s="8165" t="s">
        <v>2392</v>
      </c>
      <c r="G304" s="8165" t="s">
        <v>28</v>
      </c>
      <c r="H304" s="8165" t="s">
        <v>28</v>
      </c>
      <c r="I304" s="8165" t="s">
        <v>1035</v>
      </c>
    </row>
    <row customHeight="1" ht="11.25">
      <c r="A305" s="8165" t="s">
        <v>2380</v>
      </c>
      <c r="B305" s="8165" t="s">
        <v>16</v>
      </c>
      <c r="C305" s="8165" t="s">
        <v>2973</v>
      </c>
      <c r="D305" s="8165" t="s">
        <v>2974</v>
      </c>
      <c r="E305" s="8165" t="s">
        <v>2975</v>
      </c>
      <c r="F305" s="8165" t="s">
        <v>2976</v>
      </c>
      <c r="G305" s="8165" t="s">
        <v>28</v>
      </c>
      <c r="H305" s="8165" t="s">
        <v>28</v>
      </c>
      <c r="I305" s="8165" t="s">
        <v>1035</v>
      </c>
    </row>
    <row customHeight="1" ht="11.25">
      <c r="A306" s="8165" t="s">
        <v>2380</v>
      </c>
      <c r="B306" s="8165" t="s">
        <v>16</v>
      </c>
      <c r="C306" s="8165" t="s">
        <v>2582</v>
      </c>
      <c r="D306" s="8165" t="s">
        <v>2583</v>
      </c>
      <c r="E306" s="8165" t="s">
        <v>2584</v>
      </c>
      <c r="F306" s="8165" t="s">
        <v>52</v>
      </c>
      <c r="G306" s="8165" t="s">
        <v>28</v>
      </c>
      <c r="H306" s="8165" t="s">
        <v>28</v>
      </c>
      <c r="I306" s="8165" t="s">
        <v>1035</v>
      </c>
    </row>
    <row customHeight="1" ht="11.25">
      <c r="A307" s="8165" t="s">
        <v>2380</v>
      </c>
      <c r="B307" s="8165" t="s">
        <v>16</v>
      </c>
      <c r="C307" s="8165" t="s">
        <v>2585</v>
      </c>
      <c r="D307" s="8165" t="s">
        <v>2586</v>
      </c>
      <c r="E307" s="8165" t="s">
        <v>2587</v>
      </c>
      <c r="F307" s="8165" t="s">
        <v>52</v>
      </c>
      <c r="G307" s="8165" t="s">
        <v>2588</v>
      </c>
      <c r="H307" s="8165" t="s">
        <v>28</v>
      </c>
      <c r="I307" s="8165" t="s">
        <v>1035</v>
      </c>
    </row>
    <row customHeight="1" ht="11.25">
      <c r="A308" s="8165" t="s">
        <v>2380</v>
      </c>
      <c r="B308" s="8165" t="s">
        <v>16</v>
      </c>
      <c r="C308" s="8165" t="s">
        <v>2589</v>
      </c>
      <c r="D308" s="8165" t="s">
        <v>2590</v>
      </c>
      <c r="E308" s="8165" t="s">
        <v>2591</v>
      </c>
      <c r="F308" s="8165" t="s">
        <v>2592</v>
      </c>
      <c r="G308" s="8165" t="s">
        <v>28</v>
      </c>
      <c r="H308" s="8165" t="s">
        <v>28</v>
      </c>
      <c r="I308" s="8165" t="s">
        <v>1035</v>
      </c>
    </row>
    <row customHeight="1" ht="11.25">
      <c r="A309" s="8165" t="s">
        <v>2380</v>
      </c>
      <c r="B309" s="8165" t="s">
        <v>16</v>
      </c>
      <c r="C309" s="8165" t="s">
        <v>2597</v>
      </c>
      <c r="D309" s="8165" t="s">
        <v>2598</v>
      </c>
      <c r="E309" s="8165" t="s">
        <v>2599</v>
      </c>
      <c r="F309" s="8165" t="s">
        <v>2454</v>
      </c>
      <c r="G309" s="8165" t="s">
        <v>28</v>
      </c>
      <c r="H309" s="8165" t="s">
        <v>28</v>
      </c>
      <c r="I309" s="8165" t="s">
        <v>1035</v>
      </c>
    </row>
    <row customHeight="1" ht="11.25">
      <c r="A310" s="8165" t="s">
        <v>2380</v>
      </c>
      <c r="B310" s="8165" t="s">
        <v>16</v>
      </c>
      <c r="C310" s="8165" t="s">
        <v>2603</v>
      </c>
      <c r="D310" s="8165" t="s">
        <v>2604</v>
      </c>
      <c r="E310" s="8165" t="s">
        <v>2605</v>
      </c>
      <c r="F310" s="8165" t="s">
        <v>2384</v>
      </c>
      <c r="G310" s="8165" t="s">
        <v>28</v>
      </c>
      <c r="H310" s="8165" t="s">
        <v>28</v>
      </c>
      <c r="I310" s="8165" t="s">
        <v>1035</v>
      </c>
    </row>
    <row customHeight="1" ht="11.25">
      <c r="A311" s="8165" t="s">
        <v>2380</v>
      </c>
      <c r="B311" s="8165" t="s">
        <v>16</v>
      </c>
      <c r="C311" s="8165" t="s">
        <v>2911</v>
      </c>
      <c r="D311" s="8165" t="s">
        <v>2912</v>
      </c>
      <c r="E311" s="8165" t="s">
        <v>2913</v>
      </c>
      <c r="F311" s="8165" t="s">
        <v>2690</v>
      </c>
      <c r="G311" s="8165" t="s">
        <v>28</v>
      </c>
      <c r="H311" s="8165" t="s">
        <v>28</v>
      </c>
      <c r="I311" s="8165" t="s">
        <v>1035</v>
      </c>
    </row>
    <row customHeight="1" ht="11.25">
      <c r="A312" s="8165" t="s">
        <v>2380</v>
      </c>
      <c r="B312" s="8165" t="s">
        <v>16</v>
      </c>
      <c r="C312" s="8165" t="s">
        <v>2914</v>
      </c>
      <c r="D312" s="8165" t="s">
        <v>2915</v>
      </c>
      <c r="E312" s="8165" t="s">
        <v>2916</v>
      </c>
      <c r="F312" s="8165" t="s">
        <v>2592</v>
      </c>
      <c r="G312" s="8165" t="s">
        <v>2917</v>
      </c>
      <c r="H312" s="8165" t="s">
        <v>28</v>
      </c>
      <c r="I312" s="8165" t="s">
        <v>1035</v>
      </c>
    </row>
    <row customHeight="1" ht="11.25">
      <c r="A313" s="8165" t="s">
        <v>2380</v>
      </c>
      <c r="B313" s="8165" t="s">
        <v>16</v>
      </c>
      <c r="C313" s="8165" t="s">
        <v>2606</v>
      </c>
      <c r="D313" s="8165" t="s">
        <v>2607</v>
      </c>
      <c r="E313" s="8165" t="s">
        <v>2608</v>
      </c>
      <c r="F313" s="8165" t="s">
        <v>2609</v>
      </c>
      <c r="G313" s="8165" t="s">
        <v>28</v>
      </c>
      <c r="H313" s="8165" t="s">
        <v>28</v>
      </c>
      <c r="I313" s="8165" t="s">
        <v>1035</v>
      </c>
    </row>
    <row customHeight="1" ht="11.25">
      <c r="A314" s="8165" t="s">
        <v>2380</v>
      </c>
      <c r="B314" s="8165" t="s">
        <v>16</v>
      </c>
      <c r="C314" s="8165" t="s">
        <v>2922</v>
      </c>
      <c r="D314" s="8165" t="s">
        <v>2923</v>
      </c>
      <c r="E314" s="8165" t="s">
        <v>2924</v>
      </c>
      <c r="F314" s="8165" t="s">
        <v>2613</v>
      </c>
      <c r="G314" s="8165" t="s">
        <v>28</v>
      </c>
      <c r="H314" s="8165" t="s">
        <v>28</v>
      </c>
      <c r="I314" s="8165" t="s">
        <v>1035</v>
      </c>
    </row>
    <row customHeight="1" ht="11.25">
      <c r="A315" s="8165" t="s">
        <v>2380</v>
      </c>
      <c r="B315" s="8165" t="s">
        <v>16</v>
      </c>
      <c r="C315" s="8165" t="s">
        <v>2925</v>
      </c>
      <c r="D315" s="8165" t="s">
        <v>2926</v>
      </c>
      <c r="E315" s="8165" t="s">
        <v>2927</v>
      </c>
      <c r="F315" s="8165" t="s">
        <v>2488</v>
      </c>
      <c r="G315" s="8165" t="s">
        <v>28</v>
      </c>
      <c r="H315" s="8165" t="s">
        <v>28</v>
      </c>
      <c r="I315" s="8165" t="s">
        <v>1035</v>
      </c>
    </row>
    <row customHeight="1" ht="11.25">
      <c r="A316" s="8165" t="s">
        <v>2380</v>
      </c>
      <c r="B316" s="8165" t="s">
        <v>16</v>
      </c>
      <c r="C316" s="8165" t="s">
        <v>2624</v>
      </c>
      <c r="D316" s="8165" t="s">
        <v>2625</v>
      </c>
      <c r="E316" s="8165" t="s">
        <v>2626</v>
      </c>
      <c r="F316" s="8165" t="s">
        <v>2592</v>
      </c>
      <c r="G316" s="8165" t="s">
        <v>28</v>
      </c>
      <c r="H316" s="8165" t="s">
        <v>28</v>
      </c>
      <c r="I316" s="8165" t="s">
        <v>1035</v>
      </c>
    </row>
    <row customHeight="1" ht="11.25">
      <c r="A317" s="8165" t="s">
        <v>2380</v>
      </c>
      <c r="B317" s="8165" t="s">
        <v>16</v>
      </c>
      <c r="C317" s="8165" t="s">
        <v>2630</v>
      </c>
      <c r="D317" s="8165" t="s">
        <v>2631</v>
      </c>
      <c r="E317" s="8165" t="s">
        <v>2632</v>
      </c>
      <c r="F317" s="8165" t="s">
        <v>2633</v>
      </c>
      <c r="G317" s="8165" t="s">
        <v>28</v>
      </c>
      <c r="H317" s="8165" t="s">
        <v>28</v>
      </c>
      <c r="I317" s="8165" t="s">
        <v>1035</v>
      </c>
    </row>
    <row customHeight="1" ht="11.25">
      <c r="A318" s="8165" t="s">
        <v>2380</v>
      </c>
      <c r="B318" s="8165" t="s">
        <v>16</v>
      </c>
      <c r="C318" s="8165" t="s">
        <v>2928</v>
      </c>
      <c r="D318" s="8165" t="s">
        <v>2929</v>
      </c>
      <c r="E318" s="8165" t="s">
        <v>2930</v>
      </c>
      <c r="F318" s="8165" t="s">
        <v>2633</v>
      </c>
      <c r="G318" s="8165" t="s">
        <v>28</v>
      </c>
      <c r="H318" s="8165" t="s">
        <v>28</v>
      </c>
      <c r="I318" s="8165" t="s">
        <v>1035</v>
      </c>
    </row>
    <row customHeight="1" ht="11.25">
      <c r="A319" s="8165" t="s">
        <v>2380</v>
      </c>
      <c r="B319" s="8165" t="s">
        <v>16</v>
      </c>
      <c r="C319" s="8165" t="s">
        <v>2638</v>
      </c>
      <c r="D319" s="8165" t="s">
        <v>2639</v>
      </c>
      <c r="E319" s="8165" t="s">
        <v>2640</v>
      </c>
      <c r="F319" s="8165" t="s">
        <v>2641</v>
      </c>
      <c r="G319" s="8165" t="s">
        <v>2642</v>
      </c>
      <c r="H319" s="8165" t="s">
        <v>28</v>
      </c>
      <c r="I319" s="8165" t="s">
        <v>1035</v>
      </c>
    </row>
    <row customHeight="1" ht="11.25">
      <c r="A320" s="8165" t="s">
        <v>2380</v>
      </c>
      <c r="B320" s="8165" t="s">
        <v>16</v>
      </c>
      <c r="C320" s="8165" t="s">
        <v>2646</v>
      </c>
      <c r="D320" s="8165" t="s">
        <v>2647</v>
      </c>
      <c r="E320" s="8165" t="s">
        <v>2411</v>
      </c>
      <c r="F320" s="8165" t="s">
        <v>2475</v>
      </c>
      <c r="G320" s="8165" t="s">
        <v>28</v>
      </c>
      <c r="H320" s="8165" t="s">
        <v>28</v>
      </c>
      <c r="I320" s="8165" t="s">
        <v>1035</v>
      </c>
    </row>
    <row customHeight="1" ht="11.25">
      <c r="A321" s="8165" t="s">
        <v>2380</v>
      </c>
      <c r="B321" s="8165" t="s">
        <v>16</v>
      </c>
      <c r="C321" s="8165" t="s">
        <v>2651</v>
      </c>
      <c r="D321" s="8165" t="s">
        <v>2652</v>
      </c>
      <c r="E321" s="8165" t="s">
        <v>2653</v>
      </c>
      <c r="F321" s="8165" t="s">
        <v>2576</v>
      </c>
      <c r="G321" s="8165" t="s">
        <v>28</v>
      </c>
      <c r="H321" s="8165" t="s">
        <v>28</v>
      </c>
      <c r="I321" s="8165" t="s">
        <v>1035</v>
      </c>
    </row>
    <row customHeight="1" ht="11.25">
      <c r="A322" s="8165" t="s">
        <v>2380</v>
      </c>
      <c r="B322" s="8165" t="s">
        <v>16</v>
      </c>
      <c r="C322" s="8165" t="s">
        <v>2977</v>
      </c>
      <c r="D322" s="8165" t="s">
        <v>2978</v>
      </c>
      <c r="E322" s="8165" t="s">
        <v>2979</v>
      </c>
      <c r="F322" s="8165" t="s">
        <v>2980</v>
      </c>
      <c r="G322" s="8165" t="s">
        <v>28</v>
      </c>
      <c r="H322" s="8165" t="s">
        <v>28</v>
      </c>
      <c r="I322" s="8165" t="s">
        <v>1035</v>
      </c>
    </row>
    <row customHeight="1" ht="11.25">
      <c r="A323" s="8165" t="s">
        <v>2380</v>
      </c>
      <c r="B323" s="8165" t="s">
        <v>16</v>
      </c>
      <c r="C323" s="8165" t="s">
        <v>2981</v>
      </c>
      <c r="D323" s="8165" t="s">
        <v>2982</v>
      </c>
      <c r="E323" s="8165" t="s">
        <v>2983</v>
      </c>
      <c r="F323" s="8165" t="s">
        <v>2421</v>
      </c>
      <c r="G323" s="8165" t="s">
        <v>28</v>
      </c>
      <c r="H323" s="8165" t="s">
        <v>28</v>
      </c>
      <c r="I323" s="8165" t="s">
        <v>1035</v>
      </c>
    </row>
    <row customHeight="1" ht="11.25">
      <c r="A324" s="8165" t="s">
        <v>2380</v>
      </c>
      <c r="B324" s="8165" t="s">
        <v>16</v>
      </c>
      <c r="C324" s="8165" t="s">
        <v>2659</v>
      </c>
      <c r="D324" s="8165" t="s">
        <v>2660</v>
      </c>
      <c r="E324" s="8165" t="s">
        <v>2661</v>
      </c>
      <c r="F324" s="8165" t="s">
        <v>2662</v>
      </c>
      <c r="G324" s="8165" t="s">
        <v>28</v>
      </c>
      <c r="H324" s="8165" t="s">
        <v>28</v>
      </c>
      <c r="I324" s="8165" t="s">
        <v>1035</v>
      </c>
    </row>
    <row customHeight="1" ht="11.25">
      <c r="A325" s="8165" t="s">
        <v>2380</v>
      </c>
      <c r="B325" s="8165" t="s">
        <v>16</v>
      </c>
      <c r="C325" s="8165" t="s">
        <v>2984</v>
      </c>
      <c r="D325" s="8165" t="s">
        <v>2985</v>
      </c>
      <c r="E325" s="8165" t="s">
        <v>2986</v>
      </c>
      <c r="F325" s="8165" t="s">
        <v>2392</v>
      </c>
      <c r="G325" s="8165" t="s">
        <v>28</v>
      </c>
      <c r="H325" s="8165" t="s">
        <v>28</v>
      </c>
      <c r="I325" s="8165" t="s">
        <v>1750</v>
      </c>
    </row>
    <row customHeight="1" ht="11.25">
      <c r="A326" s="8165" t="s">
        <v>2380</v>
      </c>
      <c r="B326" s="8165" t="s">
        <v>16</v>
      </c>
      <c r="C326" s="8165" t="s">
        <v>2987</v>
      </c>
      <c r="D326" s="8165" t="s">
        <v>2988</v>
      </c>
      <c r="E326" s="8165" t="s">
        <v>2989</v>
      </c>
      <c r="F326" s="8165" t="s">
        <v>704</v>
      </c>
      <c r="G326" s="8165" t="s">
        <v>28</v>
      </c>
      <c r="H326" s="8165" t="s">
        <v>28</v>
      </c>
      <c r="I326" s="8165" t="s">
        <v>1750</v>
      </c>
    </row>
    <row customHeight="1" ht="11.25">
      <c r="A327" s="8165" t="s">
        <v>2380</v>
      </c>
      <c r="B327" s="8165" t="s">
        <v>16</v>
      </c>
      <c r="C327" s="8165" t="s">
        <v>2990</v>
      </c>
      <c r="D327" s="8165" t="s">
        <v>2991</v>
      </c>
      <c r="E327" s="8165" t="s">
        <v>2992</v>
      </c>
      <c r="F327" s="8165" t="s">
        <v>704</v>
      </c>
      <c r="G327" s="8165" t="s">
        <v>28</v>
      </c>
      <c r="H327" s="8165" t="s">
        <v>28</v>
      </c>
      <c r="I327" s="8165" t="s">
        <v>1750</v>
      </c>
    </row>
    <row customHeight="1" ht="11.25">
      <c r="A328" s="8165" t="s">
        <v>2380</v>
      </c>
      <c r="B328" s="8165" t="s">
        <v>16</v>
      </c>
      <c r="C328" s="8165" t="s">
        <v>28</v>
      </c>
      <c r="D328" s="8165" t="s">
        <v>2445</v>
      </c>
      <c r="E328" s="8165" t="s">
        <v>2446</v>
      </c>
      <c r="F328" s="8165" t="s">
        <v>2392</v>
      </c>
      <c r="G328" s="8165" t="s">
        <v>28</v>
      </c>
      <c r="H328" s="8165" t="s">
        <v>28</v>
      </c>
      <c r="I328" s="8165" t="s">
        <v>1750</v>
      </c>
    </row>
    <row customHeight="1" ht="11.25">
      <c r="A329" s="8165" t="s">
        <v>2380</v>
      </c>
      <c r="B329" s="8165" t="s">
        <v>16</v>
      </c>
      <c r="C329" s="8165" t="s">
        <v>2806</v>
      </c>
      <c r="D329" s="8165" t="s">
        <v>2807</v>
      </c>
      <c r="E329" s="8165" t="s">
        <v>2808</v>
      </c>
      <c r="F329" s="8165" t="s">
        <v>2637</v>
      </c>
      <c r="G329" s="8165" t="s">
        <v>2809</v>
      </c>
      <c r="H329" s="8165" t="s">
        <v>28</v>
      </c>
      <c r="I329" s="8165" t="s">
        <v>1750</v>
      </c>
    </row>
    <row customHeight="1" ht="11.25">
      <c r="A330" s="8165" t="s">
        <v>2380</v>
      </c>
      <c r="B330" s="8165" t="s">
        <v>16</v>
      </c>
      <c r="C330" s="8165" t="s">
        <v>2993</v>
      </c>
      <c r="D330" s="8165" t="s">
        <v>2994</v>
      </c>
      <c r="E330" s="8165" t="s">
        <v>2995</v>
      </c>
      <c r="F330" s="8165" t="s">
        <v>2506</v>
      </c>
      <c r="G330" s="8165" t="s">
        <v>28</v>
      </c>
      <c r="H330" s="8165" t="s">
        <v>28</v>
      </c>
      <c r="I330" s="8165" t="s">
        <v>1750</v>
      </c>
    </row>
    <row customHeight="1" ht="11.25">
      <c r="A331" s="8165" t="s">
        <v>2380</v>
      </c>
      <c r="B331" s="8165" t="s">
        <v>16</v>
      </c>
      <c r="C331" s="8165" t="s">
        <v>2996</v>
      </c>
      <c r="D331" s="8165" t="s">
        <v>2997</v>
      </c>
      <c r="E331" s="8165" t="s">
        <v>2998</v>
      </c>
      <c r="F331" s="8165" t="s">
        <v>2502</v>
      </c>
      <c r="G331" s="8165" t="s">
        <v>28</v>
      </c>
      <c r="H331" s="8165" t="s">
        <v>28</v>
      </c>
      <c r="I331" s="8165" t="s">
        <v>1750</v>
      </c>
    </row>
    <row customHeight="1" ht="11.25">
      <c r="A332" s="8165" t="s">
        <v>2380</v>
      </c>
      <c r="B332" s="8165" t="s">
        <v>16</v>
      </c>
      <c r="C332" s="8165" t="s">
        <v>2999</v>
      </c>
      <c r="D332" s="8165" t="s">
        <v>3000</v>
      </c>
      <c r="E332" s="8165" t="s">
        <v>3001</v>
      </c>
      <c r="F332" s="8165" t="s">
        <v>2493</v>
      </c>
      <c r="G332" s="8165" t="s">
        <v>28</v>
      </c>
      <c r="H332" s="8165" t="s">
        <v>28</v>
      </c>
      <c r="I332" s="8165" t="s">
        <v>1750</v>
      </c>
    </row>
    <row customHeight="1" ht="11.25">
      <c r="A333" s="8165" t="s">
        <v>2380</v>
      </c>
      <c r="B333" s="8165" t="s">
        <v>16</v>
      </c>
      <c r="C333" s="8165" t="s">
        <v>2876</v>
      </c>
      <c r="D333" s="8165" t="s">
        <v>2877</v>
      </c>
      <c r="E333" s="8165" t="s">
        <v>2878</v>
      </c>
      <c r="F333" s="8165" t="s">
        <v>2468</v>
      </c>
      <c r="G333" s="8165" t="s">
        <v>28</v>
      </c>
      <c r="H333" s="8165" t="s">
        <v>28</v>
      </c>
      <c r="I333" s="8165" t="s">
        <v>1750</v>
      </c>
    </row>
    <row customHeight="1" ht="11.25">
      <c r="A334" s="8165" t="s">
        <v>2380</v>
      </c>
      <c r="B334" s="8165" t="s">
        <v>16</v>
      </c>
      <c r="C334" s="8165" t="s">
        <v>2882</v>
      </c>
      <c r="D334" s="8165" t="s">
        <v>2883</v>
      </c>
      <c r="E334" s="8165" t="s">
        <v>2884</v>
      </c>
      <c r="F334" s="8165" t="s">
        <v>2554</v>
      </c>
      <c r="G334" s="8165" t="s">
        <v>28</v>
      </c>
      <c r="H334" s="8165" t="s">
        <v>28</v>
      </c>
      <c r="I334" s="8165" t="s">
        <v>1750</v>
      </c>
    </row>
    <row customHeight="1" ht="11.25">
      <c r="A335" s="8165" t="s">
        <v>2380</v>
      </c>
      <c r="B335" s="8165" t="s">
        <v>16</v>
      </c>
      <c r="C335" s="8165" t="s">
        <v>2895</v>
      </c>
      <c r="D335" s="8165" t="s">
        <v>2896</v>
      </c>
      <c r="E335" s="8165" t="s">
        <v>2897</v>
      </c>
      <c r="F335" s="8165" t="s">
        <v>2592</v>
      </c>
      <c r="G335" s="8165" t="s">
        <v>28</v>
      </c>
      <c r="H335" s="8165" t="s">
        <v>28</v>
      </c>
      <c r="I335" s="8165" t="s">
        <v>1750</v>
      </c>
    </row>
    <row customHeight="1" ht="11.25">
      <c r="A336" s="8165" t="s">
        <v>2380</v>
      </c>
      <c r="B336" s="8165" t="s">
        <v>16</v>
      </c>
      <c r="C336" s="8165" t="s">
        <v>3002</v>
      </c>
      <c r="D336" s="8165" t="s">
        <v>3003</v>
      </c>
      <c r="E336" s="8165" t="s">
        <v>3004</v>
      </c>
      <c r="F336" s="8165" t="s">
        <v>2392</v>
      </c>
      <c r="G336" s="8165" t="s">
        <v>28</v>
      </c>
      <c r="H336" s="8165" t="s">
        <v>28</v>
      </c>
      <c r="I336" s="8165" t="s">
        <v>1750</v>
      </c>
    </row>
    <row customHeight="1" ht="11.25">
      <c r="A337" s="8165" t="s">
        <v>2380</v>
      </c>
      <c r="B337" s="8165" t="s">
        <v>16</v>
      </c>
      <c r="C337" s="8165" t="s">
        <v>3005</v>
      </c>
      <c r="D337" s="8165" t="s">
        <v>3006</v>
      </c>
      <c r="E337" s="8165" t="s">
        <v>3007</v>
      </c>
      <c r="F337" s="8165" t="s">
        <v>2901</v>
      </c>
      <c r="G337" s="8165" t="s">
        <v>28</v>
      </c>
      <c r="H337" s="8165" t="s">
        <v>28</v>
      </c>
      <c r="I337" s="8165" t="s">
        <v>1750</v>
      </c>
    </row>
    <row customHeight="1" ht="11.25">
      <c r="A338" s="8165" t="s">
        <v>2380</v>
      </c>
      <c r="B338" s="8165" t="s">
        <v>16</v>
      </c>
      <c r="C338" s="8165" t="s">
        <v>2597</v>
      </c>
      <c r="D338" s="8165" t="s">
        <v>2598</v>
      </c>
      <c r="E338" s="8165" t="s">
        <v>2599</v>
      </c>
      <c r="F338" s="8165" t="s">
        <v>2454</v>
      </c>
      <c r="G338" s="8165" t="s">
        <v>28</v>
      </c>
      <c r="H338" s="8165" t="s">
        <v>28</v>
      </c>
      <c r="I338" s="8165" t="s">
        <v>1750</v>
      </c>
    </row>
    <row customHeight="1" ht="11.25">
      <c r="A339" s="8165" t="s">
        <v>2380</v>
      </c>
      <c r="B339" s="8165" t="s">
        <v>16</v>
      </c>
      <c r="C339" s="8165" t="s">
        <v>3008</v>
      </c>
      <c r="D339" s="8165" t="s">
        <v>3009</v>
      </c>
      <c r="E339" s="8165" t="s">
        <v>3010</v>
      </c>
      <c r="F339" s="8165" t="s">
        <v>2475</v>
      </c>
      <c r="G339" s="8165" t="s">
        <v>28</v>
      </c>
      <c r="H339" s="8165" t="s">
        <v>28</v>
      </c>
      <c r="I339" s="8165" t="s">
        <v>1750</v>
      </c>
    </row>
    <row customHeight="1" ht="11.25">
      <c r="A340" s="8165" t="s">
        <v>2380</v>
      </c>
      <c r="B340" s="8165" t="s">
        <v>16</v>
      </c>
      <c r="C340" s="8165" t="s">
        <v>3011</v>
      </c>
      <c r="D340" s="8165" t="s">
        <v>3012</v>
      </c>
      <c r="E340" s="8165" t="s">
        <v>3013</v>
      </c>
      <c r="F340" s="8165" t="s">
        <v>2572</v>
      </c>
      <c r="G340" s="8165" t="s">
        <v>28</v>
      </c>
      <c r="H340" s="8165" t="s">
        <v>28</v>
      </c>
      <c r="I340" s="8165" t="s">
        <v>1750</v>
      </c>
    </row>
    <row customHeight="1" ht="11.25">
      <c r="A341" s="8165" t="s">
        <v>2380</v>
      </c>
      <c r="B341" s="8165" t="s">
        <v>16</v>
      </c>
      <c r="C341" s="8165" t="s">
        <v>3014</v>
      </c>
      <c r="D341" s="8165" t="s">
        <v>3015</v>
      </c>
      <c r="E341" s="8165" t="s">
        <v>3016</v>
      </c>
      <c r="F341" s="8165" t="s">
        <v>2468</v>
      </c>
      <c r="G341" s="8165" t="s">
        <v>28</v>
      </c>
      <c r="H341" s="8165" t="s">
        <v>28</v>
      </c>
      <c r="I341" s="8165" t="s">
        <v>1750</v>
      </c>
    </row>
    <row customHeight="1" ht="11.25">
      <c r="A342" s="8165" t="s">
        <v>2380</v>
      </c>
      <c r="B342" s="8165" t="s">
        <v>16</v>
      </c>
      <c r="C342" s="8165" t="s">
        <v>2603</v>
      </c>
      <c r="D342" s="8165" t="s">
        <v>2604</v>
      </c>
      <c r="E342" s="8165" t="s">
        <v>2605</v>
      </c>
      <c r="F342" s="8165" t="s">
        <v>2384</v>
      </c>
      <c r="G342" s="8165" t="s">
        <v>28</v>
      </c>
      <c r="H342" s="8165" t="s">
        <v>28</v>
      </c>
      <c r="I342" s="8165" t="s">
        <v>1750</v>
      </c>
    </row>
    <row customHeight="1" ht="11.25">
      <c r="A343" s="8165" t="s">
        <v>2380</v>
      </c>
      <c r="B343" s="8165" t="s">
        <v>16</v>
      </c>
      <c r="C343" s="8165" t="s">
        <v>2918</v>
      </c>
      <c r="D343" s="8165" t="s">
        <v>2919</v>
      </c>
      <c r="E343" s="8165" t="s">
        <v>2920</v>
      </c>
      <c r="F343" s="8165" t="s">
        <v>2921</v>
      </c>
      <c r="G343" s="8165" t="s">
        <v>28</v>
      </c>
      <c r="H343" s="8165" t="s">
        <v>28</v>
      </c>
      <c r="I343" s="8165" t="s">
        <v>1750</v>
      </c>
    </row>
    <row customHeight="1" ht="11.25">
      <c r="A344" s="8165" t="s">
        <v>2380</v>
      </c>
      <c r="B344" s="8165" t="s">
        <v>16</v>
      </c>
      <c r="C344" s="8165" t="s">
        <v>3017</v>
      </c>
      <c r="D344" s="8165" t="s">
        <v>3018</v>
      </c>
      <c r="E344" s="8165" t="s">
        <v>3019</v>
      </c>
      <c r="F344" s="8165" t="s">
        <v>2392</v>
      </c>
      <c r="G344" s="8165" t="s">
        <v>3020</v>
      </c>
      <c r="H344" s="8165" t="s">
        <v>28</v>
      </c>
      <c r="I344" s="8165" t="s">
        <v>1750</v>
      </c>
    </row>
    <row customHeight="1" ht="11.25">
      <c r="A345" s="8165" t="s">
        <v>2380</v>
      </c>
      <c r="B345" s="8165" t="s">
        <v>16</v>
      </c>
      <c r="C345" s="8165" t="s">
        <v>2925</v>
      </c>
      <c r="D345" s="8165" t="s">
        <v>2926</v>
      </c>
      <c r="E345" s="8165" t="s">
        <v>2927</v>
      </c>
      <c r="F345" s="8165" t="s">
        <v>2488</v>
      </c>
      <c r="G345" s="8165" t="s">
        <v>28</v>
      </c>
      <c r="H345" s="8165" t="s">
        <v>28</v>
      </c>
      <c r="I345" s="8165" t="s">
        <v>1750</v>
      </c>
    </row>
    <row customHeight="1" ht="11.25">
      <c r="A346" s="8165" t="s">
        <v>2380</v>
      </c>
      <c r="B346" s="8165" t="s">
        <v>16</v>
      </c>
      <c r="C346" s="8165" t="s">
        <v>3021</v>
      </c>
      <c r="D346" s="8165" t="s">
        <v>3022</v>
      </c>
      <c r="E346" s="8165" t="s">
        <v>3023</v>
      </c>
      <c r="F346" s="8165" t="s">
        <v>2506</v>
      </c>
      <c r="G346" s="8165" t="s">
        <v>28</v>
      </c>
      <c r="H346" s="8165" t="s">
        <v>28</v>
      </c>
      <c r="I346" s="8165" t="s">
        <v>1750</v>
      </c>
    </row>
    <row customHeight="1" ht="11.25">
      <c r="A347" s="8165" t="s">
        <v>2380</v>
      </c>
      <c r="B347" s="8165" t="s">
        <v>16</v>
      </c>
      <c r="C347" s="8165" t="s">
        <v>3024</v>
      </c>
      <c r="D347" s="8165" t="s">
        <v>3025</v>
      </c>
      <c r="E347" s="8165" t="s">
        <v>3026</v>
      </c>
      <c r="F347" s="8165" t="s">
        <v>3027</v>
      </c>
      <c r="G347" s="8165" t="s">
        <v>28</v>
      </c>
      <c r="H347" s="8165" t="s">
        <v>28</v>
      </c>
      <c r="I347" s="8165" t="s">
        <v>1750</v>
      </c>
    </row>
    <row customHeight="1" ht="11.25">
      <c r="A348" s="8165" t="s">
        <v>2380</v>
      </c>
      <c r="B348" s="8165" t="s">
        <v>16</v>
      </c>
      <c r="C348" s="8165" t="s">
        <v>3028</v>
      </c>
      <c r="D348" s="8165" t="s">
        <v>3029</v>
      </c>
      <c r="E348" s="8165" t="s">
        <v>3030</v>
      </c>
      <c r="F348" s="8165" t="s">
        <v>2468</v>
      </c>
      <c r="G348" s="8165" t="s">
        <v>28</v>
      </c>
      <c r="H348" s="8165" t="s">
        <v>28</v>
      </c>
      <c r="I348" s="8165" t="s">
        <v>1750</v>
      </c>
    </row>
    <row customHeight="1" ht="11.25">
      <c r="A349" s="8165" t="s">
        <v>2380</v>
      </c>
      <c r="B349" s="8165" t="s">
        <v>16</v>
      </c>
      <c r="C349" s="8165" t="s">
        <v>3031</v>
      </c>
      <c r="D349" s="8165" t="s">
        <v>3032</v>
      </c>
      <c r="E349" s="8165" t="s">
        <v>3033</v>
      </c>
      <c r="F349" s="8165" t="s">
        <v>2392</v>
      </c>
      <c r="G349" s="8165" t="s">
        <v>28</v>
      </c>
      <c r="H349" s="8165" t="s">
        <v>28</v>
      </c>
      <c r="I349" s="8165" t="s">
        <v>1750</v>
      </c>
    </row>
    <row customHeight="1" ht="11.25">
      <c r="A350" s="8165" t="s">
        <v>2380</v>
      </c>
      <c r="B350" s="8165" t="s">
        <v>16</v>
      </c>
      <c r="C350" s="8165" t="s">
        <v>3034</v>
      </c>
      <c r="D350" s="8165" t="s">
        <v>3035</v>
      </c>
      <c r="E350" s="8165" t="s">
        <v>3036</v>
      </c>
      <c r="F350" s="8165" t="s">
        <v>2392</v>
      </c>
      <c r="G350" s="8165" t="s">
        <v>28</v>
      </c>
      <c r="H350" s="8165" t="s">
        <v>28</v>
      </c>
      <c r="I350" s="8165" t="s">
        <v>1750</v>
      </c>
    </row>
    <row customHeight="1" ht="11.25">
      <c r="A351" s="8165" t="s">
        <v>2380</v>
      </c>
      <c r="B351" s="8165" t="s">
        <v>16</v>
      </c>
      <c r="C351" s="8165" t="s">
        <v>3037</v>
      </c>
      <c r="D351" s="8165" t="s">
        <v>3038</v>
      </c>
      <c r="E351" s="8165" t="s">
        <v>3039</v>
      </c>
      <c r="F351" s="8165" t="s">
        <v>2576</v>
      </c>
      <c r="G351" s="8165" t="s">
        <v>28</v>
      </c>
      <c r="H351" s="8165" t="s">
        <v>28</v>
      </c>
      <c r="I351" s="8165" t="s">
        <v>1750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461F86-24DD-13FA-4391-72BC476716CB}" mc:Ignorable="x14ac xr xr2 xr3">
  <sheetPr>
    <tabColor rgb="FFFFCC99"/>
  </sheetPr>
  <dimension ref="A1:G348"/>
  <sheetViews>
    <sheetView topLeftCell="A1" showGridLines="0" workbookViewId="0">
      <selection activeCell="A1" sqref="A1"/>
    </sheetView>
  </sheetViews>
  <sheetFormatPr customHeight="1" defaultRowHeight="11.25"/>
  <cols>
    <col min="1" max="1" style="8415" width="9.140625"/>
  </cols>
  <sheetData>
    <row customHeight="1" ht="11.25">
      <c r="A1" s="486" t="s">
        <v>3040</v>
      </c>
      <c r="B1" s="175" t="s">
        <v>3041</v>
      </c>
      <c r="C1" s="175" t="s">
        <v>3042</v>
      </c>
      <c r="D1" s="175" t="s">
        <v>3043</v>
      </c>
      <c r="E1" s="62" t="s">
        <v>3044</v>
      </c>
      <c r="F1" s="62" t="s">
        <v>3045</v>
      </c>
      <c r="G1" s="62" t="s">
        <v>3046</v>
      </c>
    </row>
    <row customHeight="1" ht="11.25">
      <c r="A2" s="486" t="s">
        <v>16</v>
      </c>
      <c r="B2" s="0" t="s">
        <v>3047</v>
      </c>
      <c r="C2" s="0" t="s">
        <v>3048</v>
      </c>
      <c r="D2" s="0" t="s">
        <v>3049</v>
      </c>
      <c r="E2" s="0" t="s">
        <v>3050</v>
      </c>
      <c r="F2" s="0" t="s">
        <v>3051</v>
      </c>
      <c r="G2" s="0" t="s">
        <v>187</v>
      </c>
    </row>
    <row customHeight="1" ht="11.25">
      <c r="A3" s="486" t="s">
        <v>16</v>
      </c>
      <c r="B3" s="0" t="s">
        <v>3047</v>
      </c>
      <c r="C3" s="0" t="s">
        <v>3048</v>
      </c>
      <c r="D3" s="0" t="s">
        <v>3047</v>
      </c>
      <c r="E3" s="0" t="s">
        <v>3048</v>
      </c>
      <c r="F3" s="0" t="s">
        <v>3052</v>
      </c>
      <c r="G3" s="0" t="s">
        <v>104</v>
      </c>
    </row>
    <row customHeight="1" ht="11.25">
      <c r="A4" s="486" t="s">
        <v>16</v>
      </c>
      <c r="B4" s="0" t="s">
        <v>3047</v>
      </c>
      <c r="C4" s="0" t="s">
        <v>3048</v>
      </c>
      <c r="D4" s="0" t="s">
        <v>3053</v>
      </c>
      <c r="E4" s="0" t="s">
        <v>3054</v>
      </c>
      <c r="F4" s="0" t="s">
        <v>3051</v>
      </c>
      <c r="G4" s="0" t="s">
        <v>90</v>
      </c>
    </row>
    <row customHeight="1" ht="11.25">
      <c r="A5" s="486" t="s">
        <v>16</v>
      </c>
      <c r="B5" s="0" t="s">
        <v>3047</v>
      </c>
      <c r="C5" s="0" t="s">
        <v>3048</v>
      </c>
      <c r="D5" s="0" t="s">
        <v>3055</v>
      </c>
      <c r="E5" s="0" t="s">
        <v>3056</v>
      </c>
      <c r="F5" s="0" t="s">
        <v>3051</v>
      </c>
      <c r="G5" s="0" t="s">
        <v>91</v>
      </c>
    </row>
    <row customHeight="1" ht="11.25">
      <c r="A6" s="486" t="s">
        <v>16</v>
      </c>
      <c r="B6" s="0" t="s">
        <v>3047</v>
      </c>
      <c r="C6" s="0" t="s">
        <v>3048</v>
      </c>
      <c r="D6" s="0" t="s">
        <v>3057</v>
      </c>
      <c r="E6" s="0" t="s">
        <v>3058</v>
      </c>
      <c r="F6" s="0" t="s">
        <v>3051</v>
      </c>
      <c r="G6" s="0" t="s">
        <v>118</v>
      </c>
    </row>
    <row customHeight="1" ht="11.25">
      <c r="A7" s="486" t="s">
        <v>16</v>
      </c>
      <c r="B7" s="0" t="s">
        <v>3047</v>
      </c>
      <c r="C7" s="0" t="s">
        <v>3048</v>
      </c>
      <c r="D7" s="0" t="s">
        <v>3059</v>
      </c>
      <c r="E7" s="0" t="s">
        <v>3060</v>
      </c>
      <c r="F7" s="0" t="s">
        <v>3051</v>
      </c>
      <c r="G7" s="0" t="s">
        <v>92</v>
      </c>
    </row>
    <row customHeight="1" ht="11.25">
      <c r="A8" s="486" t="s">
        <v>16</v>
      </c>
      <c r="B8" s="0" t="s">
        <v>3047</v>
      </c>
      <c r="C8" s="0" t="s">
        <v>3048</v>
      </c>
      <c r="D8" s="0" t="s">
        <v>3061</v>
      </c>
      <c r="E8" s="0" t="s">
        <v>3062</v>
      </c>
      <c r="F8" s="0" t="s">
        <v>3051</v>
      </c>
      <c r="G8" s="0" t="s">
        <v>93</v>
      </c>
    </row>
    <row customHeight="1" ht="11.25">
      <c r="A9" s="486" t="s">
        <v>16</v>
      </c>
      <c r="B9" s="0" t="s">
        <v>3047</v>
      </c>
      <c r="C9" s="0" t="s">
        <v>3048</v>
      </c>
      <c r="D9" s="0" t="s">
        <v>3063</v>
      </c>
      <c r="E9" s="0" t="s">
        <v>3064</v>
      </c>
      <c r="F9" s="0" t="s">
        <v>3051</v>
      </c>
      <c r="G9" s="0" t="s">
        <v>131</v>
      </c>
    </row>
    <row customHeight="1" ht="11.25">
      <c r="A10" s="486" t="s">
        <v>16</v>
      </c>
      <c r="B10" s="0" t="s">
        <v>3047</v>
      </c>
      <c r="C10" s="0" t="s">
        <v>3048</v>
      </c>
      <c r="D10" s="0" t="s">
        <v>3065</v>
      </c>
      <c r="E10" s="0" t="s">
        <v>3066</v>
      </c>
      <c r="F10" s="0" t="s">
        <v>3051</v>
      </c>
      <c r="G10" s="0" t="s">
        <v>136</v>
      </c>
    </row>
    <row customHeight="1" ht="11.25">
      <c r="A11" s="486" t="s">
        <v>16</v>
      </c>
      <c r="B11" s="0" t="s">
        <v>3047</v>
      </c>
      <c r="C11" s="0" t="s">
        <v>3048</v>
      </c>
      <c r="D11" s="0" t="s">
        <v>3067</v>
      </c>
      <c r="E11" s="0" t="s">
        <v>3068</v>
      </c>
      <c r="F11" s="0" t="s">
        <v>3051</v>
      </c>
      <c r="G11" s="0" t="s">
        <v>141</v>
      </c>
    </row>
    <row customHeight="1" ht="11.25">
      <c r="A12" s="486" t="s">
        <v>16</v>
      </c>
      <c r="B12" s="0" t="s">
        <v>3047</v>
      </c>
      <c r="C12" s="0" t="s">
        <v>3048</v>
      </c>
      <c r="D12" s="0" t="s">
        <v>3069</v>
      </c>
      <c r="E12" s="0" t="s">
        <v>3070</v>
      </c>
      <c r="F12" s="0" t="s">
        <v>3051</v>
      </c>
      <c r="G12" s="0" t="s">
        <v>146</v>
      </c>
    </row>
    <row customHeight="1" ht="11.25">
      <c r="A13" s="486" t="s">
        <v>16</v>
      </c>
      <c r="B13" s="0" t="s">
        <v>3047</v>
      </c>
      <c r="C13" s="0" t="s">
        <v>3048</v>
      </c>
      <c r="D13" s="0" t="s">
        <v>3071</v>
      </c>
      <c r="E13" s="0" t="s">
        <v>3072</v>
      </c>
      <c r="F13" s="0" t="s">
        <v>3051</v>
      </c>
      <c r="G13" s="0" t="s">
        <v>151</v>
      </c>
    </row>
    <row customHeight="1" ht="11.25">
      <c r="A14" s="486" t="s">
        <v>16</v>
      </c>
      <c r="B14" s="0" t="s">
        <v>3047</v>
      </c>
      <c r="C14" s="0" t="s">
        <v>3048</v>
      </c>
      <c r="D14" s="0" t="s">
        <v>3073</v>
      </c>
      <c r="E14" s="0" t="s">
        <v>3074</v>
      </c>
      <c r="F14" s="0" t="s">
        <v>3051</v>
      </c>
      <c r="G14" s="0" t="s">
        <v>156</v>
      </c>
    </row>
    <row customHeight="1" ht="11.25">
      <c r="A15" s="486" t="s">
        <v>16</v>
      </c>
      <c r="B15" s="0" t="s">
        <v>3047</v>
      </c>
      <c r="C15" s="0" t="s">
        <v>3048</v>
      </c>
      <c r="D15" s="0" t="s">
        <v>3075</v>
      </c>
      <c r="E15" s="0" t="s">
        <v>3076</v>
      </c>
      <c r="F15" s="0" t="s">
        <v>3051</v>
      </c>
      <c r="G15" s="0" t="s">
        <v>161</v>
      </c>
    </row>
    <row customHeight="1" ht="11.25">
      <c r="A16" s="486" t="s">
        <v>16</v>
      </c>
      <c r="B16" s="0" t="s">
        <v>3047</v>
      </c>
      <c r="C16" s="0" t="s">
        <v>3048</v>
      </c>
      <c r="D16" s="0" t="s">
        <v>3077</v>
      </c>
      <c r="E16" s="0" t="s">
        <v>3078</v>
      </c>
      <c r="F16" s="0" t="s">
        <v>3051</v>
      </c>
      <c r="G16" s="0" t="s">
        <v>166</v>
      </c>
    </row>
    <row customHeight="1" ht="11.25">
      <c r="A17" s="486" t="s">
        <v>16</v>
      </c>
      <c r="B17" s="0" t="s">
        <v>3079</v>
      </c>
      <c r="C17" s="0" t="s">
        <v>3080</v>
      </c>
      <c r="D17" s="0" t="s">
        <v>3079</v>
      </c>
      <c r="E17" s="0" t="s">
        <v>3080</v>
      </c>
      <c r="F17" s="0" t="s">
        <v>3052</v>
      </c>
      <c r="G17" s="0" t="s">
        <v>171</v>
      </c>
    </row>
    <row customHeight="1" ht="11.25">
      <c r="A18" s="486" t="s">
        <v>16</v>
      </c>
      <c r="B18" s="0" t="s">
        <v>3079</v>
      </c>
      <c r="C18" s="0" t="s">
        <v>3080</v>
      </c>
      <c r="D18" s="0" t="s">
        <v>3081</v>
      </c>
      <c r="E18" s="0" t="s">
        <v>3082</v>
      </c>
      <c r="F18" s="0" t="s">
        <v>3051</v>
      </c>
      <c r="G18" s="0" t="s">
        <v>176</v>
      </c>
    </row>
    <row customHeight="1" ht="11.25">
      <c r="A19" s="486" t="s">
        <v>16</v>
      </c>
      <c r="B19" s="0" t="s">
        <v>3079</v>
      </c>
      <c r="C19" s="0" t="s">
        <v>3080</v>
      </c>
      <c r="D19" s="0" t="s">
        <v>3083</v>
      </c>
      <c r="E19" s="0" t="s">
        <v>3084</v>
      </c>
      <c r="F19" s="0" t="s">
        <v>3051</v>
      </c>
      <c r="G19" s="0" t="s">
        <v>1627</v>
      </c>
    </row>
    <row customHeight="1" ht="11.25">
      <c r="A20" s="486" t="s">
        <v>16</v>
      </c>
      <c r="B20" s="0" t="s">
        <v>3079</v>
      </c>
      <c r="C20" s="0" t="s">
        <v>3080</v>
      </c>
      <c r="D20" s="0" t="s">
        <v>3085</v>
      </c>
      <c r="E20" s="0" t="s">
        <v>3086</v>
      </c>
      <c r="F20" s="0" t="s">
        <v>3051</v>
      </c>
      <c r="G20" s="0" t="s">
        <v>1639</v>
      </c>
    </row>
    <row customHeight="1" ht="11.25">
      <c r="A21" s="486" t="s">
        <v>16</v>
      </c>
      <c r="B21" s="0" t="s">
        <v>3079</v>
      </c>
      <c r="C21" s="0" t="s">
        <v>3080</v>
      </c>
      <c r="D21" s="0" t="s">
        <v>3087</v>
      </c>
      <c r="E21" s="0" t="s">
        <v>3088</v>
      </c>
      <c r="F21" s="0" t="s">
        <v>3051</v>
      </c>
      <c r="G21" s="0" t="s">
        <v>1648</v>
      </c>
    </row>
    <row customHeight="1" ht="11.25">
      <c r="A22" s="486" t="s">
        <v>16</v>
      </c>
      <c r="B22" s="0" t="s">
        <v>3079</v>
      </c>
      <c r="C22" s="0" t="s">
        <v>3080</v>
      </c>
      <c r="D22" s="0" t="s">
        <v>3089</v>
      </c>
      <c r="E22" s="0" t="s">
        <v>3090</v>
      </c>
      <c r="F22" s="0" t="s">
        <v>3051</v>
      </c>
      <c r="G22" s="0" t="s">
        <v>1664</v>
      </c>
    </row>
    <row customHeight="1" ht="11.25">
      <c r="A23" s="486" t="s">
        <v>16</v>
      </c>
      <c r="B23" s="0" t="s">
        <v>3079</v>
      </c>
      <c r="C23" s="0" t="s">
        <v>3080</v>
      </c>
      <c r="D23" s="0" t="s">
        <v>3091</v>
      </c>
      <c r="E23" s="0" t="s">
        <v>3092</v>
      </c>
      <c r="F23" s="0" t="s">
        <v>3051</v>
      </c>
      <c r="G23" s="0" t="s">
        <v>1671</v>
      </c>
    </row>
    <row customHeight="1" ht="11.25">
      <c r="A24" s="486" t="s">
        <v>16</v>
      </c>
      <c r="B24" s="0" t="s">
        <v>3079</v>
      </c>
      <c r="C24" s="0" t="s">
        <v>3080</v>
      </c>
      <c r="D24" s="0" t="s">
        <v>3093</v>
      </c>
      <c r="E24" s="0" t="s">
        <v>3094</v>
      </c>
      <c r="F24" s="0" t="s">
        <v>3051</v>
      </c>
      <c r="G24" s="0" t="s">
        <v>1679</v>
      </c>
    </row>
    <row customHeight="1" ht="11.25">
      <c r="A25" s="486" t="s">
        <v>16</v>
      </c>
      <c r="B25" s="0" t="s">
        <v>3095</v>
      </c>
      <c r="C25" s="0" t="s">
        <v>3096</v>
      </c>
      <c r="D25" s="0" t="s">
        <v>3097</v>
      </c>
      <c r="E25" s="0" t="s">
        <v>3098</v>
      </c>
      <c r="F25" s="0" t="s">
        <v>3051</v>
      </c>
      <c r="G25" s="0" t="s">
        <v>1686</v>
      </c>
    </row>
    <row customHeight="1" ht="11.25">
      <c r="A26" s="486" t="s">
        <v>16</v>
      </c>
      <c r="B26" s="0" t="s">
        <v>3095</v>
      </c>
      <c r="C26" s="0" t="s">
        <v>3096</v>
      </c>
      <c r="D26" s="0" t="s">
        <v>3099</v>
      </c>
      <c r="E26" s="0" t="s">
        <v>3100</v>
      </c>
      <c r="F26" s="0" t="s">
        <v>3051</v>
      </c>
      <c r="G26" s="0" t="s">
        <v>1690</v>
      </c>
    </row>
    <row customHeight="1" ht="11.25">
      <c r="A27" s="486" t="s">
        <v>16</v>
      </c>
      <c r="B27" s="0" t="s">
        <v>3095</v>
      </c>
      <c r="C27" s="0" t="s">
        <v>3096</v>
      </c>
      <c r="D27" s="0" t="s">
        <v>3095</v>
      </c>
      <c r="E27" s="0" t="s">
        <v>3096</v>
      </c>
      <c r="F27" s="0" t="s">
        <v>3052</v>
      </c>
      <c r="G27" s="0" t="s">
        <v>1695</v>
      </c>
    </row>
    <row customHeight="1" ht="11.25">
      <c r="A28" s="486" t="s">
        <v>16</v>
      </c>
      <c r="B28" s="0" t="s">
        <v>3095</v>
      </c>
      <c r="C28" s="0" t="s">
        <v>3096</v>
      </c>
      <c r="D28" s="0" t="s">
        <v>3101</v>
      </c>
      <c r="E28" s="0" t="s">
        <v>3102</v>
      </c>
      <c r="F28" s="0" t="s">
        <v>3051</v>
      </c>
      <c r="G28" s="0" t="s">
        <v>1703</v>
      </c>
    </row>
    <row customHeight="1" ht="11.25">
      <c r="A29" s="486" t="s">
        <v>16</v>
      </c>
      <c r="B29" s="0" t="s">
        <v>3095</v>
      </c>
      <c r="C29" s="0" t="s">
        <v>3096</v>
      </c>
      <c r="D29" s="0" t="s">
        <v>3103</v>
      </c>
      <c r="E29" s="0" t="s">
        <v>3104</v>
      </c>
      <c r="F29" s="0" t="s">
        <v>3051</v>
      </c>
      <c r="G29" s="0" t="s">
        <v>1705</v>
      </c>
    </row>
    <row customHeight="1" ht="11.25">
      <c r="A30" s="486" t="s">
        <v>16</v>
      </c>
      <c r="B30" s="0" t="s">
        <v>3095</v>
      </c>
      <c r="C30" s="0" t="s">
        <v>3096</v>
      </c>
      <c r="D30" s="0" t="s">
        <v>3105</v>
      </c>
      <c r="E30" s="0" t="s">
        <v>3106</v>
      </c>
      <c r="F30" s="0" t="s">
        <v>3051</v>
      </c>
      <c r="G30" s="0" t="s">
        <v>1708</v>
      </c>
    </row>
    <row customHeight="1" ht="11.25">
      <c r="A31" s="486" t="s">
        <v>16</v>
      </c>
      <c r="B31" s="0" t="s">
        <v>3095</v>
      </c>
      <c r="C31" s="0" t="s">
        <v>3096</v>
      </c>
      <c r="D31" s="0" t="s">
        <v>3107</v>
      </c>
      <c r="E31" s="0" t="s">
        <v>3108</v>
      </c>
      <c r="F31" s="0" t="s">
        <v>3051</v>
      </c>
      <c r="G31" s="0" t="s">
        <v>1713</v>
      </c>
    </row>
    <row customHeight="1" ht="11.25">
      <c r="A32" s="486" t="s">
        <v>16</v>
      </c>
      <c r="B32" s="0" t="s">
        <v>3095</v>
      </c>
      <c r="C32" s="0" t="s">
        <v>3096</v>
      </c>
      <c r="D32" s="0" t="s">
        <v>3109</v>
      </c>
      <c r="E32" s="0" t="s">
        <v>3110</v>
      </c>
      <c r="F32" s="0" t="s">
        <v>3051</v>
      </c>
      <c r="G32" s="0" t="s">
        <v>1714</v>
      </c>
    </row>
    <row customHeight="1" ht="11.25">
      <c r="A33" s="486" t="s">
        <v>16</v>
      </c>
      <c r="B33" s="0" t="s">
        <v>3095</v>
      </c>
      <c r="C33" s="0" t="s">
        <v>3096</v>
      </c>
      <c r="D33" s="0" t="s">
        <v>3111</v>
      </c>
      <c r="E33" s="0" t="s">
        <v>3112</v>
      </c>
      <c r="F33" s="0" t="s">
        <v>3051</v>
      </c>
      <c r="G33" s="0" t="s">
        <v>1716</v>
      </c>
    </row>
    <row customHeight="1" ht="11.25">
      <c r="A34" s="486" t="s">
        <v>16</v>
      </c>
      <c r="B34" s="0" t="s">
        <v>3095</v>
      </c>
      <c r="C34" s="0" t="s">
        <v>3096</v>
      </c>
      <c r="D34" s="0" t="s">
        <v>3113</v>
      </c>
      <c r="E34" s="0" t="s">
        <v>3114</v>
      </c>
      <c r="F34" s="0" t="s">
        <v>3051</v>
      </c>
      <c r="G34" s="0" t="s">
        <v>1718</v>
      </c>
    </row>
    <row customHeight="1" ht="11.25">
      <c r="A35" s="486" t="s">
        <v>16</v>
      </c>
      <c r="B35" s="0" t="s">
        <v>3095</v>
      </c>
      <c r="C35" s="0" t="s">
        <v>3096</v>
      </c>
      <c r="D35" s="0" t="s">
        <v>3115</v>
      </c>
      <c r="E35" s="0" t="s">
        <v>3116</v>
      </c>
      <c r="F35" s="0" t="s">
        <v>3051</v>
      </c>
      <c r="G35" s="0" t="s">
        <v>1723</v>
      </c>
    </row>
    <row customHeight="1" ht="11.25">
      <c r="A36" s="486" t="s">
        <v>16</v>
      </c>
      <c r="B36" s="0" t="s">
        <v>3095</v>
      </c>
      <c r="C36" s="0" t="s">
        <v>3096</v>
      </c>
      <c r="D36" s="0" t="s">
        <v>3117</v>
      </c>
      <c r="E36" s="0" t="s">
        <v>3118</v>
      </c>
      <c r="F36" s="0" t="s">
        <v>3051</v>
      </c>
      <c r="G36" s="0" t="s">
        <v>1728</v>
      </c>
    </row>
    <row customHeight="1" ht="11.25">
      <c r="A37" s="486" t="s">
        <v>16</v>
      </c>
      <c r="B37" s="0" t="s">
        <v>3095</v>
      </c>
      <c r="C37" s="0" t="s">
        <v>3096</v>
      </c>
      <c r="D37" s="0" t="s">
        <v>3119</v>
      </c>
      <c r="E37" s="0" t="s">
        <v>3120</v>
      </c>
      <c r="F37" s="0" t="s">
        <v>3121</v>
      </c>
      <c r="G37" s="0" t="s">
        <v>1732</v>
      </c>
    </row>
    <row customHeight="1" ht="11.25">
      <c r="A38" s="486" t="s">
        <v>16</v>
      </c>
      <c r="B38" s="0" t="s">
        <v>3095</v>
      </c>
      <c r="C38" s="0" t="s">
        <v>3096</v>
      </c>
      <c r="D38" s="0" t="s">
        <v>3122</v>
      </c>
      <c r="E38" s="0" t="s">
        <v>3123</v>
      </c>
      <c r="F38" s="0" t="s">
        <v>3121</v>
      </c>
      <c r="G38" s="0" t="s">
        <v>1740</v>
      </c>
    </row>
    <row customHeight="1" ht="11.25">
      <c r="A39" s="486" t="s">
        <v>16</v>
      </c>
      <c r="B39" s="0" t="s">
        <v>3124</v>
      </c>
      <c r="C39" s="0" t="s">
        <v>3125</v>
      </c>
      <c r="D39" s="0" t="s">
        <v>3126</v>
      </c>
      <c r="E39" s="0" t="s">
        <v>3127</v>
      </c>
      <c r="F39" s="0" t="s">
        <v>3051</v>
      </c>
      <c r="G39" s="0" t="s">
        <v>1746</v>
      </c>
    </row>
    <row customHeight="1" ht="11.25">
      <c r="A40" s="486" t="s">
        <v>16</v>
      </c>
      <c r="B40" s="0" t="s">
        <v>3124</v>
      </c>
      <c r="C40" s="0" t="s">
        <v>3125</v>
      </c>
      <c r="D40" s="0" t="s">
        <v>3128</v>
      </c>
      <c r="E40" s="0" t="s">
        <v>3129</v>
      </c>
      <c r="F40" s="0" t="s">
        <v>3051</v>
      </c>
      <c r="G40" s="0" t="s">
        <v>1751</v>
      </c>
    </row>
    <row customHeight="1" ht="11.25">
      <c r="A41" s="486" t="s">
        <v>16</v>
      </c>
      <c r="B41" s="0" t="s">
        <v>3124</v>
      </c>
      <c r="C41" s="0" t="s">
        <v>3125</v>
      </c>
      <c r="D41" s="0" t="s">
        <v>3124</v>
      </c>
      <c r="E41" s="0" t="s">
        <v>3125</v>
      </c>
      <c r="F41" s="0" t="s">
        <v>3052</v>
      </c>
      <c r="G41" s="0" t="s">
        <v>1755</v>
      </c>
    </row>
    <row customHeight="1" ht="11.25">
      <c r="A42" s="486" t="s">
        <v>16</v>
      </c>
      <c r="B42" s="0" t="s">
        <v>3124</v>
      </c>
      <c r="C42" s="0" t="s">
        <v>3125</v>
      </c>
      <c r="D42" s="0" t="s">
        <v>3130</v>
      </c>
      <c r="E42" s="0" t="s">
        <v>3131</v>
      </c>
      <c r="F42" s="0" t="s">
        <v>3051</v>
      </c>
      <c r="G42" s="0" t="s">
        <v>1758</v>
      </c>
    </row>
    <row customHeight="1" ht="11.25">
      <c r="A43" s="486" t="s">
        <v>16</v>
      </c>
      <c r="B43" s="0" t="s">
        <v>3124</v>
      </c>
      <c r="C43" s="0" t="s">
        <v>3125</v>
      </c>
      <c r="D43" s="0" t="s">
        <v>3132</v>
      </c>
      <c r="E43" s="0" t="s">
        <v>3133</v>
      </c>
      <c r="F43" s="0" t="s">
        <v>3051</v>
      </c>
      <c r="G43" s="0" t="s">
        <v>1765</v>
      </c>
    </row>
    <row customHeight="1" ht="11.25">
      <c r="A44" s="486" t="s">
        <v>16</v>
      </c>
      <c r="B44" s="0" t="s">
        <v>3124</v>
      </c>
      <c r="C44" s="0" t="s">
        <v>3125</v>
      </c>
      <c r="D44" s="0" t="s">
        <v>3134</v>
      </c>
      <c r="E44" s="0" t="s">
        <v>3135</v>
      </c>
      <c r="F44" s="0" t="s">
        <v>3051</v>
      </c>
      <c r="G44" s="0" t="s">
        <v>1774</v>
      </c>
    </row>
    <row customHeight="1" ht="11.25">
      <c r="A45" s="486" t="s">
        <v>16</v>
      </c>
      <c r="B45" s="0" t="s">
        <v>3124</v>
      </c>
      <c r="C45" s="0" t="s">
        <v>3125</v>
      </c>
      <c r="D45" s="0" t="s">
        <v>3136</v>
      </c>
      <c r="E45" s="0" t="s">
        <v>3137</v>
      </c>
      <c r="F45" s="0" t="s">
        <v>3051</v>
      </c>
      <c r="G45" s="0" t="s">
        <v>1779</v>
      </c>
    </row>
    <row customHeight="1" ht="11.25">
      <c r="A46" s="486" t="s">
        <v>16</v>
      </c>
      <c r="B46" s="0" t="s">
        <v>3124</v>
      </c>
      <c r="C46" s="0" t="s">
        <v>3125</v>
      </c>
      <c r="D46" s="0" t="s">
        <v>3138</v>
      </c>
      <c r="E46" s="0" t="s">
        <v>3139</v>
      </c>
      <c r="F46" s="0" t="s">
        <v>3051</v>
      </c>
      <c r="G46" s="0" t="s">
        <v>1783</v>
      </c>
    </row>
    <row customHeight="1" ht="11.25">
      <c r="A47" s="486" t="s">
        <v>16</v>
      </c>
      <c r="B47" s="0" t="s">
        <v>3124</v>
      </c>
      <c r="C47" s="0" t="s">
        <v>3125</v>
      </c>
      <c r="D47" s="0" t="s">
        <v>3140</v>
      </c>
      <c r="E47" s="0" t="s">
        <v>3141</v>
      </c>
      <c r="F47" s="0" t="s">
        <v>3051</v>
      </c>
      <c r="G47" s="0" t="s">
        <v>1789</v>
      </c>
    </row>
    <row customHeight="1" ht="11.25">
      <c r="A48" s="486" t="s">
        <v>16</v>
      </c>
      <c r="B48" s="0" t="s">
        <v>3124</v>
      </c>
      <c r="C48" s="0" t="s">
        <v>3125</v>
      </c>
      <c r="D48" s="0" t="s">
        <v>3142</v>
      </c>
      <c r="E48" s="0" t="s">
        <v>3143</v>
      </c>
      <c r="F48" s="0" t="s">
        <v>3051</v>
      </c>
      <c r="G48" s="0" t="s">
        <v>1794</v>
      </c>
    </row>
    <row customHeight="1" ht="11.25">
      <c r="A49" s="486" t="s">
        <v>16</v>
      </c>
      <c r="B49" s="0" t="s">
        <v>3124</v>
      </c>
      <c r="C49" s="0" t="s">
        <v>3125</v>
      </c>
      <c r="D49" s="0" t="s">
        <v>3144</v>
      </c>
      <c r="E49" s="0" t="s">
        <v>3145</v>
      </c>
      <c r="F49" s="0" t="s">
        <v>3051</v>
      </c>
      <c r="G49" s="0" t="s">
        <v>1797</v>
      </c>
    </row>
    <row customHeight="1" ht="11.25">
      <c r="A50" s="486" t="s">
        <v>16</v>
      </c>
      <c r="B50" s="0" t="s">
        <v>3124</v>
      </c>
      <c r="C50" s="0" t="s">
        <v>3125</v>
      </c>
      <c r="D50" s="0" t="s">
        <v>3146</v>
      </c>
      <c r="E50" s="0" t="s">
        <v>3147</v>
      </c>
      <c r="F50" s="0" t="s">
        <v>3051</v>
      </c>
      <c r="G50" s="0" t="s">
        <v>1800</v>
      </c>
    </row>
    <row customHeight="1" ht="11.25">
      <c r="A51" s="486" t="s">
        <v>16</v>
      </c>
      <c r="B51" s="0" t="s">
        <v>3124</v>
      </c>
      <c r="C51" s="0" t="s">
        <v>3125</v>
      </c>
      <c r="D51" s="0" t="s">
        <v>3148</v>
      </c>
      <c r="E51" s="0" t="s">
        <v>3149</v>
      </c>
      <c r="F51" s="0" t="s">
        <v>3051</v>
      </c>
      <c r="G51" s="0" t="s">
        <v>1805</v>
      </c>
    </row>
    <row customHeight="1" ht="11.25">
      <c r="A52" s="486" t="s">
        <v>16</v>
      </c>
      <c r="B52" s="0" t="s">
        <v>3124</v>
      </c>
      <c r="C52" s="0" t="s">
        <v>3125</v>
      </c>
      <c r="D52" s="0" t="s">
        <v>3150</v>
      </c>
      <c r="E52" s="0" t="s">
        <v>3151</v>
      </c>
      <c r="F52" s="0" t="s">
        <v>3051</v>
      </c>
      <c r="G52" s="0" t="s">
        <v>1809</v>
      </c>
    </row>
    <row customHeight="1" ht="11.25">
      <c r="A53" s="486" t="s">
        <v>16</v>
      </c>
      <c r="B53" s="0" t="s">
        <v>3124</v>
      </c>
      <c r="C53" s="0" t="s">
        <v>3125</v>
      </c>
      <c r="D53" s="0" t="s">
        <v>3152</v>
      </c>
      <c r="E53" s="0" t="s">
        <v>3153</v>
      </c>
      <c r="F53" s="0" t="s">
        <v>3051</v>
      </c>
      <c r="G53" s="0" t="s">
        <v>1811</v>
      </c>
    </row>
    <row customHeight="1" ht="11.25">
      <c r="A54" s="486" t="s">
        <v>16</v>
      </c>
      <c r="B54" s="0" t="s">
        <v>3124</v>
      </c>
      <c r="C54" s="0" t="s">
        <v>3125</v>
      </c>
      <c r="D54" s="0" t="s">
        <v>3154</v>
      </c>
      <c r="E54" s="0" t="s">
        <v>3155</v>
      </c>
      <c r="F54" s="0" t="s">
        <v>3121</v>
      </c>
      <c r="G54" s="0" t="s">
        <v>1814</v>
      </c>
    </row>
    <row customHeight="1" ht="11.25">
      <c r="A55" s="486" t="s">
        <v>16</v>
      </c>
      <c r="B55" s="0" t="s">
        <v>3156</v>
      </c>
      <c r="C55" s="0" t="s">
        <v>3157</v>
      </c>
      <c r="D55" s="0" t="s">
        <v>3158</v>
      </c>
      <c r="E55" s="0" t="s">
        <v>3159</v>
      </c>
      <c r="F55" s="0" t="s">
        <v>3051</v>
      </c>
      <c r="G55" s="0" t="s">
        <v>1819</v>
      </c>
    </row>
    <row customHeight="1" ht="11.25">
      <c r="A56" s="486" t="s">
        <v>16</v>
      </c>
      <c r="B56" s="0" t="s">
        <v>3156</v>
      </c>
      <c r="C56" s="0" t="s">
        <v>3157</v>
      </c>
      <c r="D56" s="0" t="s">
        <v>3156</v>
      </c>
      <c r="E56" s="0" t="s">
        <v>3157</v>
      </c>
      <c r="F56" s="0" t="s">
        <v>3052</v>
      </c>
      <c r="G56" s="0" t="s">
        <v>1822</v>
      </c>
    </row>
    <row customHeight="1" ht="11.25">
      <c r="A57" s="486" t="s">
        <v>16</v>
      </c>
      <c r="B57" s="0" t="s">
        <v>3156</v>
      </c>
      <c r="C57" s="0" t="s">
        <v>3157</v>
      </c>
      <c r="D57" s="0" t="s">
        <v>3160</v>
      </c>
      <c r="E57" s="0" t="s">
        <v>3161</v>
      </c>
      <c r="F57" s="0" t="s">
        <v>3051</v>
      </c>
      <c r="G57" s="0" t="s">
        <v>1825</v>
      </c>
    </row>
    <row customHeight="1" ht="11.25">
      <c r="A58" s="486" t="s">
        <v>16</v>
      </c>
      <c r="B58" s="0" t="s">
        <v>3156</v>
      </c>
      <c r="C58" s="0" t="s">
        <v>3157</v>
      </c>
      <c r="D58" s="0" t="s">
        <v>3162</v>
      </c>
      <c r="E58" s="0" t="s">
        <v>3163</v>
      </c>
      <c r="F58" s="0" t="s">
        <v>3051</v>
      </c>
      <c r="G58" s="0" t="s">
        <v>1828</v>
      </c>
    </row>
    <row customHeight="1" ht="11.25">
      <c r="A59" s="486" t="s">
        <v>16</v>
      </c>
      <c r="B59" s="0" t="s">
        <v>3156</v>
      </c>
      <c r="C59" s="0" t="s">
        <v>3157</v>
      </c>
      <c r="D59" s="0" t="s">
        <v>3164</v>
      </c>
      <c r="E59" s="0" t="s">
        <v>3165</v>
      </c>
      <c r="F59" s="0" t="s">
        <v>3051</v>
      </c>
      <c r="G59" s="0" t="s">
        <v>1832</v>
      </c>
    </row>
    <row customHeight="1" ht="11.25">
      <c r="A60" s="486" t="s">
        <v>16</v>
      </c>
      <c r="B60" s="0" t="s">
        <v>3156</v>
      </c>
      <c r="C60" s="0" t="s">
        <v>3157</v>
      </c>
      <c r="D60" s="0" t="s">
        <v>3166</v>
      </c>
      <c r="E60" s="0" t="s">
        <v>3167</v>
      </c>
      <c r="F60" s="0" t="s">
        <v>3051</v>
      </c>
      <c r="G60" s="0" t="s">
        <v>1835</v>
      </c>
    </row>
    <row customHeight="1" ht="11.25">
      <c r="A61" s="486" t="s">
        <v>16</v>
      </c>
      <c r="B61" s="0" t="s">
        <v>3156</v>
      </c>
      <c r="C61" s="0" t="s">
        <v>3157</v>
      </c>
      <c r="D61" s="0" t="s">
        <v>3168</v>
      </c>
      <c r="E61" s="0" t="s">
        <v>3169</v>
      </c>
      <c r="F61" s="0" t="s">
        <v>3051</v>
      </c>
      <c r="G61" s="0" t="s">
        <v>3170</v>
      </c>
    </row>
    <row customHeight="1" ht="11.25">
      <c r="A62" s="486" t="s">
        <v>16</v>
      </c>
      <c r="B62" s="0" t="s">
        <v>3156</v>
      </c>
      <c r="C62" s="0" t="s">
        <v>3157</v>
      </c>
      <c r="D62" s="0" t="s">
        <v>3171</v>
      </c>
      <c r="E62" s="0" t="s">
        <v>3172</v>
      </c>
      <c r="F62" s="0" t="s">
        <v>3051</v>
      </c>
      <c r="G62" s="0" t="s">
        <v>3173</v>
      </c>
    </row>
    <row customHeight="1" ht="11.25">
      <c r="A63" s="486" t="s">
        <v>16</v>
      </c>
      <c r="B63" s="0" t="s">
        <v>3156</v>
      </c>
      <c r="C63" s="0" t="s">
        <v>3157</v>
      </c>
      <c r="D63" s="0" t="s">
        <v>3174</v>
      </c>
      <c r="E63" s="0" t="s">
        <v>3175</v>
      </c>
      <c r="F63" s="0" t="s">
        <v>3176</v>
      </c>
      <c r="G63" s="0" t="s">
        <v>3177</v>
      </c>
    </row>
    <row customHeight="1" ht="11.25">
      <c r="A64" s="486" t="s">
        <v>16</v>
      </c>
      <c r="B64" s="0" t="s">
        <v>3178</v>
      </c>
      <c r="C64" s="0" t="s">
        <v>3179</v>
      </c>
      <c r="D64" s="0" t="s">
        <v>3180</v>
      </c>
      <c r="E64" s="0" t="s">
        <v>3181</v>
      </c>
      <c r="F64" s="0" t="s">
        <v>3051</v>
      </c>
      <c r="G64" s="0" t="s">
        <v>3182</v>
      </c>
    </row>
    <row customHeight="1" ht="11.25">
      <c r="A65" s="486" t="s">
        <v>16</v>
      </c>
      <c r="B65" s="0" t="s">
        <v>3178</v>
      </c>
      <c r="C65" s="0" t="s">
        <v>3179</v>
      </c>
      <c r="D65" s="0" t="s">
        <v>3183</v>
      </c>
      <c r="E65" s="0" t="s">
        <v>3184</v>
      </c>
      <c r="F65" s="0" t="s">
        <v>3051</v>
      </c>
      <c r="G65" s="0" t="s">
        <v>3185</v>
      </c>
    </row>
    <row customHeight="1" ht="11.25">
      <c r="A66" s="486" t="s">
        <v>16</v>
      </c>
      <c r="B66" s="0" t="s">
        <v>3178</v>
      </c>
      <c r="C66" s="0" t="s">
        <v>3179</v>
      </c>
      <c r="D66" s="0" t="s">
        <v>3186</v>
      </c>
      <c r="E66" s="0" t="s">
        <v>3187</v>
      </c>
      <c r="F66" s="0" t="s">
        <v>3051</v>
      </c>
      <c r="G66" s="0" t="s">
        <v>3188</v>
      </c>
    </row>
    <row customHeight="1" ht="11.25">
      <c r="A67" s="486" t="s">
        <v>16</v>
      </c>
      <c r="B67" s="0" t="s">
        <v>3178</v>
      </c>
      <c r="C67" s="0" t="s">
        <v>3179</v>
      </c>
      <c r="D67" s="0" t="s">
        <v>3189</v>
      </c>
      <c r="E67" s="0" t="s">
        <v>3190</v>
      </c>
      <c r="F67" s="0" t="s">
        <v>3051</v>
      </c>
      <c r="G67" s="0" t="s">
        <v>2154</v>
      </c>
    </row>
    <row customHeight="1" ht="11.25">
      <c r="A68" s="486" t="s">
        <v>16</v>
      </c>
      <c r="B68" s="0" t="s">
        <v>3178</v>
      </c>
      <c r="C68" s="0" t="s">
        <v>3179</v>
      </c>
      <c r="D68" s="0" t="s">
        <v>3178</v>
      </c>
      <c r="E68" s="0" t="s">
        <v>3179</v>
      </c>
      <c r="F68" s="0" t="s">
        <v>3052</v>
      </c>
      <c r="G68" s="0" t="s">
        <v>3191</v>
      </c>
    </row>
    <row customHeight="1" ht="11.25">
      <c r="A69" s="486" t="s">
        <v>16</v>
      </c>
      <c r="B69" s="0" t="s">
        <v>3178</v>
      </c>
      <c r="C69" s="0" t="s">
        <v>3179</v>
      </c>
      <c r="D69" s="0" t="s">
        <v>3192</v>
      </c>
      <c r="E69" s="0" t="s">
        <v>3193</v>
      </c>
      <c r="F69" s="0" t="s">
        <v>3051</v>
      </c>
      <c r="G69" s="0" t="s">
        <v>2357</v>
      </c>
    </row>
    <row customHeight="1" ht="11.25">
      <c r="A70" s="486" t="s">
        <v>16</v>
      </c>
      <c r="B70" s="0" t="s">
        <v>3178</v>
      </c>
      <c r="C70" s="0" t="s">
        <v>3179</v>
      </c>
      <c r="D70" s="0" t="s">
        <v>3194</v>
      </c>
      <c r="E70" s="0" t="s">
        <v>3195</v>
      </c>
      <c r="F70" s="0" t="s">
        <v>3051</v>
      </c>
      <c r="G70" s="0" t="s">
        <v>3196</v>
      </c>
    </row>
    <row customHeight="1" ht="11.25">
      <c r="A71" s="486" t="s">
        <v>16</v>
      </c>
      <c r="B71" s="0" t="s">
        <v>3178</v>
      </c>
      <c r="C71" s="0" t="s">
        <v>3179</v>
      </c>
      <c r="D71" s="0" t="s">
        <v>3197</v>
      </c>
      <c r="E71" s="0" t="s">
        <v>3198</v>
      </c>
      <c r="F71" s="0" t="s">
        <v>3051</v>
      </c>
      <c r="G71" s="0" t="s">
        <v>3199</v>
      </c>
    </row>
    <row customHeight="1" ht="11.25">
      <c r="A72" s="486" t="s">
        <v>16</v>
      </c>
      <c r="B72" s="0" t="s">
        <v>3178</v>
      </c>
      <c r="C72" s="0" t="s">
        <v>3179</v>
      </c>
      <c r="D72" s="0" t="s">
        <v>3200</v>
      </c>
      <c r="E72" s="0" t="s">
        <v>3201</v>
      </c>
      <c r="F72" s="0" t="s">
        <v>3051</v>
      </c>
      <c r="G72" s="0" t="s">
        <v>3202</v>
      </c>
    </row>
    <row customHeight="1" ht="11.25">
      <c r="A73" s="486" t="s">
        <v>16</v>
      </c>
      <c r="B73" s="0" t="s">
        <v>3178</v>
      </c>
      <c r="C73" s="0" t="s">
        <v>3179</v>
      </c>
      <c r="D73" s="0" t="s">
        <v>3203</v>
      </c>
      <c r="E73" s="0" t="s">
        <v>3204</v>
      </c>
      <c r="F73" s="0" t="s">
        <v>3051</v>
      </c>
      <c r="G73" s="0" t="s">
        <v>3205</v>
      </c>
    </row>
    <row customHeight="1" ht="11.25">
      <c r="A74" s="486" t="s">
        <v>16</v>
      </c>
      <c r="B74" s="0" t="s">
        <v>3178</v>
      </c>
      <c r="C74" s="0" t="s">
        <v>3179</v>
      </c>
      <c r="D74" s="0" t="s">
        <v>169</v>
      </c>
      <c r="E74" s="0" t="s">
        <v>3206</v>
      </c>
      <c r="F74" s="0" t="s">
        <v>3051</v>
      </c>
      <c r="G74" s="0" t="s">
        <v>3207</v>
      </c>
    </row>
    <row customHeight="1" ht="11.25">
      <c r="A75" s="486" t="s">
        <v>16</v>
      </c>
      <c r="B75" s="0" t="s">
        <v>3178</v>
      </c>
      <c r="C75" s="0" t="s">
        <v>3179</v>
      </c>
      <c r="D75" s="0" t="s">
        <v>3208</v>
      </c>
      <c r="E75" s="0" t="s">
        <v>3209</v>
      </c>
      <c r="F75" s="0" t="s">
        <v>3051</v>
      </c>
      <c r="G75" s="0" t="s">
        <v>3210</v>
      </c>
    </row>
    <row customHeight="1" ht="11.25">
      <c r="A76" s="486" t="s">
        <v>16</v>
      </c>
      <c r="B76" s="0" t="s">
        <v>3178</v>
      </c>
      <c r="C76" s="0" t="s">
        <v>3179</v>
      </c>
      <c r="D76" s="0" t="s">
        <v>3211</v>
      </c>
      <c r="E76" s="0" t="s">
        <v>3212</v>
      </c>
      <c r="F76" s="0" t="s">
        <v>3051</v>
      </c>
      <c r="G76" s="0" t="s">
        <v>3213</v>
      </c>
    </row>
    <row customHeight="1" ht="11.25">
      <c r="A77" s="486" t="s">
        <v>16</v>
      </c>
      <c r="B77" s="0" t="s">
        <v>3178</v>
      </c>
      <c r="C77" s="0" t="s">
        <v>3179</v>
      </c>
      <c r="D77" s="0" t="s">
        <v>3214</v>
      </c>
      <c r="E77" s="0" t="s">
        <v>3215</v>
      </c>
      <c r="F77" s="0" t="s">
        <v>3121</v>
      </c>
      <c r="G77" s="0" t="s">
        <v>3216</v>
      </c>
    </row>
    <row customHeight="1" ht="11.25">
      <c r="A78" s="486" t="s">
        <v>16</v>
      </c>
      <c r="B78" s="0" t="s">
        <v>3217</v>
      </c>
      <c r="C78" s="0" t="s">
        <v>3218</v>
      </c>
      <c r="D78" s="0" t="s">
        <v>3219</v>
      </c>
      <c r="E78" s="0" t="s">
        <v>3220</v>
      </c>
      <c r="F78" s="0" t="s">
        <v>3051</v>
      </c>
      <c r="G78" s="0" t="s">
        <v>3221</v>
      </c>
    </row>
    <row customHeight="1" ht="11.25">
      <c r="A79" s="486" t="s">
        <v>16</v>
      </c>
      <c r="B79" s="0" t="s">
        <v>3217</v>
      </c>
      <c r="C79" s="0" t="s">
        <v>3218</v>
      </c>
      <c r="D79" s="0" t="s">
        <v>3222</v>
      </c>
      <c r="E79" s="0" t="s">
        <v>3223</v>
      </c>
      <c r="F79" s="0" t="s">
        <v>3051</v>
      </c>
      <c r="G79" s="0" t="s">
        <v>3224</v>
      </c>
    </row>
    <row customHeight="1" ht="11.25">
      <c r="A80" s="486" t="s">
        <v>16</v>
      </c>
      <c r="B80" s="0" t="s">
        <v>3217</v>
      </c>
      <c r="C80" s="0" t="s">
        <v>3218</v>
      </c>
      <c r="D80" s="0" t="s">
        <v>3225</v>
      </c>
      <c r="E80" s="0" t="s">
        <v>3226</v>
      </c>
      <c r="F80" s="0" t="s">
        <v>3051</v>
      </c>
      <c r="G80" s="0" t="s">
        <v>3227</v>
      </c>
    </row>
    <row customHeight="1" ht="11.25">
      <c r="A81" s="486" t="s">
        <v>16</v>
      </c>
      <c r="B81" s="0" t="s">
        <v>3217</v>
      </c>
      <c r="C81" s="0" t="s">
        <v>3218</v>
      </c>
      <c r="D81" s="0" t="s">
        <v>3228</v>
      </c>
      <c r="E81" s="0" t="s">
        <v>3229</v>
      </c>
      <c r="F81" s="0" t="s">
        <v>3051</v>
      </c>
      <c r="G81" s="0" t="s">
        <v>3230</v>
      </c>
    </row>
    <row customHeight="1" ht="11.25">
      <c r="A82" s="486" t="s">
        <v>16</v>
      </c>
      <c r="B82" s="0" t="s">
        <v>3217</v>
      </c>
      <c r="C82" s="0" t="s">
        <v>3218</v>
      </c>
      <c r="D82" s="0" t="s">
        <v>3231</v>
      </c>
      <c r="E82" s="0" t="s">
        <v>3232</v>
      </c>
      <c r="F82" s="0" t="s">
        <v>3051</v>
      </c>
      <c r="G82" s="0" t="s">
        <v>3233</v>
      </c>
    </row>
    <row customHeight="1" ht="11.25">
      <c r="A83" s="486" t="s">
        <v>16</v>
      </c>
      <c r="B83" s="0" t="s">
        <v>3217</v>
      </c>
      <c r="C83" s="0" t="s">
        <v>3218</v>
      </c>
      <c r="D83" s="0" t="s">
        <v>3217</v>
      </c>
      <c r="E83" s="0" t="s">
        <v>3218</v>
      </c>
      <c r="F83" s="0" t="s">
        <v>3052</v>
      </c>
      <c r="G83" s="0" t="s">
        <v>3234</v>
      </c>
    </row>
    <row customHeight="1" ht="11.25">
      <c r="A84" s="486" t="s">
        <v>16</v>
      </c>
      <c r="B84" s="0" t="s">
        <v>3217</v>
      </c>
      <c r="C84" s="0" t="s">
        <v>3218</v>
      </c>
      <c r="D84" s="0" t="s">
        <v>3235</v>
      </c>
      <c r="E84" s="0" t="s">
        <v>3236</v>
      </c>
      <c r="F84" s="0" t="s">
        <v>3051</v>
      </c>
      <c r="G84" s="0" t="s">
        <v>3237</v>
      </c>
    </row>
    <row customHeight="1" ht="11.25">
      <c r="A85" s="486" t="s">
        <v>16</v>
      </c>
      <c r="B85" s="0" t="s">
        <v>3217</v>
      </c>
      <c r="C85" s="0" t="s">
        <v>3218</v>
      </c>
      <c r="D85" s="0" t="s">
        <v>3238</v>
      </c>
      <c r="E85" s="0" t="s">
        <v>3239</v>
      </c>
      <c r="F85" s="0" t="s">
        <v>3051</v>
      </c>
      <c r="G85" s="0" t="s">
        <v>3240</v>
      </c>
    </row>
    <row customHeight="1" ht="11.25">
      <c r="A86" s="486" t="s">
        <v>16</v>
      </c>
      <c r="B86" s="0" t="s">
        <v>3217</v>
      </c>
      <c r="C86" s="0" t="s">
        <v>3218</v>
      </c>
      <c r="D86" s="0" t="s">
        <v>3241</v>
      </c>
      <c r="E86" s="0" t="s">
        <v>3242</v>
      </c>
      <c r="F86" s="0" t="s">
        <v>3051</v>
      </c>
      <c r="G86" s="0" t="s">
        <v>3243</v>
      </c>
    </row>
    <row customHeight="1" ht="11.25">
      <c r="A87" s="486" t="s">
        <v>16</v>
      </c>
      <c r="B87" s="0" t="s">
        <v>3217</v>
      </c>
      <c r="C87" s="0" t="s">
        <v>3218</v>
      </c>
      <c r="D87" s="0" t="s">
        <v>3244</v>
      </c>
      <c r="E87" s="0" t="s">
        <v>3245</v>
      </c>
      <c r="F87" s="0" t="s">
        <v>3051</v>
      </c>
      <c r="G87" s="0" t="s">
        <v>3246</v>
      </c>
    </row>
    <row customHeight="1" ht="11.25">
      <c r="A88" s="486" t="s">
        <v>16</v>
      </c>
      <c r="B88" s="0" t="s">
        <v>3217</v>
      </c>
      <c r="C88" s="0" t="s">
        <v>3218</v>
      </c>
      <c r="D88" s="0" t="s">
        <v>3247</v>
      </c>
      <c r="E88" s="0" t="s">
        <v>3248</v>
      </c>
      <c r="F88" s="0" t="s">
        <v>3121</v>
      </c>
      <c r="G88" s="0" t="s">
        <v>3249</v>
      </c>
    </row>
    <row customHeight="1" ht="11.25">
      <c r="A89" s="486" t="s">
        <v>16</v>
      </c>
      <c r="B89" s="0" t="s">
        <v>3250</v>
      </c>
      <c r="C89" s="0" t="s">
        <v>3251</v>
      </c>
      <c r="D89" s="0" t="s">
        <v>3097</v>
      </c>
      <c r="E89" s="0" t="s">
        <v>3252</v>
      </c>
      <c r="F89" s="0" t="s">
        <v>3051</v>
      </c>
      <c r="G89" s="0" t="s">
        <v>3253</v>
      </c>
    </row>
    <row customHeight="1" ht="11.25">
      <c r="A90" s="486" t="s">
        <v>16</v>
      </c>
      <c r="B90" s="0" t="s">
        <v>3250</v>
      </c>
      <c r="C90" s="0" t="s">
        <v>3251</v>
      </c>
      <c r="D90" s="0" t="s">
        <v>3254</v>
      </c>
      <c r="E90" s="0" t="s">
        <v>3255</v>
      </c>
      <c r="F90" s="0" t="s">
        <v>3051</v>
      </c>
      <c r="G90" s="0" t="s">
        <v>3256</v>
      </c>
    </row>
    <row customHeight="1" ht="11.25">
      <c r="A91" s="486" t="s">
        <v>16</v>
      </c>
      <c r="B91" s="0" t="s">
        <v>3250</v>
      </c>
      <c r="C91" s="0" t="s">
        <v>3251</v>
      </c>
      <c r="D91" s="0" t="s">
        <v>3257</v>
      </c>
      <c r="E91" s="0" t="s">
        <v>3258</v>
      </c>
      <c r="F91" s="0" t="s">
        <v>3051</v>
      </c>
      <c r="G91" s="0" t="s">
        <v>3259</v>
      </c>
    </row>
    <row customHeight="1" ht="11.25">
      <c r="A92" s="486" t="s">
        <v>16</v>
      </c>
      <c r="B92" s="0" t="s">
        <v>3250</v>
      </c>
      <c r="C92" s="0" t="s">
        <v>3251</v>
      </c>
      <c r="D92" s="0" t="s">
        <v>3260</v>
      </c>
      <c r="E92" s="0" t="s">
        <v>3261</v>
      </c>
      <c r="F92" s="0" t="s">
        <v>3051</v>
      </c>
      <c r="G92" s="0" t="s">
        <v>3262</v>
      </c>
    </row>
    <row customHeight="1" ht="11.25">
      <c r="A93" s="486" t="s">
        <v>16</v>
      </c>
      <c r="B93" s="0" t="s">
        <v>3250</v>
      </c>
      <c r="C93" s="0" t="s">
        <v>3251</v>
      </c>
      <c r="D93" s="0" t="s">
        <v>3263</v>
      </c>
      <c r="E93" s="0" t="s">
        <v>3264</v>
      </c>
      <c r="F93" s="0" t="s">
        <v>3051</v>
      </c>
      <c r="G93" s="0" t="s">
        <v>3265</v>
      </c>
    </row>
    <row customHeight="1" ht="11.25">
      <c r="A94" s="486" t="s">
        <v>16</v>
      </c>
      <c r="B94" s="0" t="s">
        <v>3250</v>
      </c>
      <c r="C94" s="0" t="s">
        <v>3251</v>
      </c>
      <c r="D94" s="0" t="s">
        <v>3250</v>
      </c>
      <c r="E94" s="0" t="s">
        <v>3251</v>
      </c>
      <c r="F94" s="0" t="s">
        <v>3052</v>
      </c>
      <c r="G94" s="0" t="s">
        <v>3266</v>
      </c>
    </row>
    <row customHeight="1" ht="11.25">
      <c r="A95" s="486" t="s">
        <v>16</v>
      </c>
      <c r="B95" s="0" t="s">
        <v>3250</v>
      </c>
      <c r="C95" s="0" t="s">
        <v>3251</v>
      </c>
      <c r="D95" s="0" t="s">
        <v>3267</v>
      </c>
      <c r="E95" s="0" t="s">
        <v>3268</v>
      </c>
      <c r="F95" s="0" t="s">
        <v>3051</v>
      </c>
      <c r="G95" s="0" t="s">
        <v>3269</v>
      </c>
    </row>
    <row customHeight="1" ht="11.25">
      <c r="A96" s="486" t="s">
        <v>16</v>
      </c>
      <c r="B96" s="0" t="s">
        <v>3250</v>
      </c>
      <c r="C96" s="0" t="s">
        <v>3251</v>
      </c>
      <c r="D96" s="0" t="s">
        <v>3270</v>
      </c>
      <c r="E96" s="0" t="s">
        <v>3271</v>
      </c>
      <c r="F96" s="0" t="s">
        <v>3051</v>
      </c>
      <c r="G96" s="0" t="s">
        <v>3272</v>
      </c>
    </row>
    <row customHeight="1" ht="11.25">
      <c r="A97" s="486" t="s">
        <v>16</v>
      </c>
      <c r="B97" s="0" t="s">
        <v>3250</v>
      </c>
      <c r="C97" s="0" t="s">
        <v>3251</v>
      </c>
      <c r="D97" s="0" t="s">
        <v>3273</v>
      </c>
      <c r="E97" s="0" t="s">
        <v>3274</v>
      </c>
      <c r="F97" s="0" t="s">
        <v>3051</v>
      </c>
      <c r="G97" s="0" t="s">
        <v>3275</v>
      </c>
    </row>
    <row customHeight="1" ht="11.25">
      <c r="A98" s="486" t="s">
        <v>16</v>
      </c>
      <c r="B98" s="0" t="s">
        <v>3250</v>
      </c>
      <c r="C98" s="0" t="s">
        <v>3251</v>
      </c>
      <c r="D98" s="0" t="s">
        <v>3276</v>
      </c>
      <c r="E98" s="0" t="s">
        <v>3277</v>
      </c>
      <c r="F98" s="0" t="s">
        <v>3051</v>
      </c>
      <c r="G98" s="0" t="s">
        <v>3278</v>
      </c>
    </row>
    <row customHeight="1" ht="11.25">
      <c r="A99" s="486" t="s">
        <v>16</v>
      </c>
      <c r="B99" s="0" t="s">
        <v>3250</v>
      </c>
      <c r="C99" s="0" t="s">
        <v>3251</v>
      </c>
      <c r="D99" s="0" t="s">
        <v>3279</v>
      </c>
      <c r="E99" s="0" t="s">
        <v>3280</v>
      </c>
      <c r="F99" s="0" t="s">
        <v>3051</v>
      </c>
      <c r="G99" s="0" t="s">
        <v>3281</v>
      </c>
    </row>
    <row customHeight="1" ht="11.25">
      <c r="A100" s="486" t="s">
        <v>16</v>
      </c>
      <c r="B100" s="0" t="s">
        <v>3250</v>
      </c>
      <c r="C100" s="0" t="s">
        <v>3251</v>
      </c>
      <c r="D100" s="0" t="s">
        <v>3282</v>
      </c>
      <c r="E100" s="0" t="s">
        <v>3283</v>
      </c>
      <c r="F100" s="0" t="s">
        <v>3051</v>
      </c>
      <c r="G100" s="0" t="s">
        <v>3284</v>
      </c>
    </row>
    <row customHeight="1" ht="11.25">
      <c r="A101" s="486" t="s">
        <v>16</v>
      </c>
      <c r="B101" s="0" t="s">
        <v>3250</v>
      </c>
      <c r="C101" s="0" t="s">
        <v>3251</v>
      </c>
      <c r="D101" s="0" t="s">
        <v>3285</v>
      </c>
      <c r="E101" s="0" t="s">
        <v>3286</v>
      </c>
      <c r="F101" s="0" t="s">
        <v>3051</v>
      </c>
      <c r="G101" s="0" t="s">
        <v>3287</v>
      </c>
    </row>
    <row customHeight="1" ht="11.25">
      <c r="A102" s="486" t="s">
        <v>16</v>
      </c>
      <c r="B102" s="0" t="s">
        <v>3250</v>
      </c>
      <c r="C102" s="0" t="s">
        <v>3251</v>
      </c>
      <c r="D102" s="0" t="s">
        <v>3288</v>
      </c>
      <c r="E102" s="0" t="s">
        <v>3289</v>
      </c>
      <c r="F102" s="0" t="s">
        <v>3051</v>
      </c>
      <c r="G102" s="0" t="s">
        <v>3290</v>
      </c>
    </row>
    <row customHeight="1" ht="11.25">
      <c r="A103" s="486" t="s">
        <v>16</v>
      </c>
      <c r="B103" s="0" t="s">
        <v>3250</v>
      </c>
      <c r="C103" s="0" t="s">
        <v>3251</v>
      </c>
      <c r="D103" s="0" t="s">
        <v>3291</v>
      </c>
      <c r="E103" s="0" t="s">
        <v>3292</v>
      </c>
      <c r="F103" s="0" t="s">
        <v>3121</v>
      </c>
      <c r="G103" s="0" t="s">
        <v>3293</v>
      </c>
    </row>
    <row customHeight="1" ht="11.25">
      <c r="A104" s="486" t="s">
        <v>16</v>
      </c>
      <c r="B104" s="0" t="s">
        <v>3250</v>
      </c>
      <c r="C104" s="0" t="s">
        <v>3251</v>
      </c>
      <c r="D104" s="0" t="s">
        <v>3294</v>
      </c>
      <c r="E104" s="0" t="s">
        <v>3295</v>
      </c>
      <c r="F104" s="0" t="s">
        <v>3121</v>
      </c>
      <c r="G104" s="0" t="s">
        <v>3296</v>
      </c>
    </row>
    <row customHeight="1" ht="11.25">
      <c r="A105" s="486" t="s">
        <v>16</v>
      </c>
      <c r="B105" s="0" t="s">
        <v>3250</v>
      </c>
      <c r="C105" s="0" t="s">
        <v>3251</v>
      </c>
      <c r="D105" s="0" t="s">
        <v>3297</v>
      </c>
      <c r="E105" s="0" t="s">
        <v>3298</v>
      </c>
      <c r="F105" s="0" t="s">
        <v>3121</v>
      </c>
      <c r="G105" s="0" t="s">
        <v>3299</v>
      </c>
    </row>
    <row customHeight="1" ht="11.25">
      <c r="A106" s="486" t="s">
        <v>16</v>
      </c>
      <c r="B106" s="0" t="s">
        <v>3300</v>
      </c>
      <c r="C106" s="0" t="s">
        <v>3301</v>
      </c>
      <c r="D106" s="0" t="s">
        <v>3302</v>
      </c>
      <c r="E106" s="0" t="s">
        <v>3303</v>
      </c>
      <c r="F106" s="0" t="s">
        <v>3051</v>
      </c>
      <c r="G106" s="0" t="s">
        <v>3304</v>
      </c>
    </row>
    <row customHeight="1" ht="11.25">
      <c r="A107" s="486" t="s">
        <v>16</v>
      </c>
      <c r="B107" s="0" t="s">
        <v>3300</v>
      </c>
      <c r="C107" s="0" t="s">
        <v>3301</v>
      </c>
      <c r="D107" s="0" t="s">
        <v>3305</v>
      </c>
      <c r="E107" s="0" t="s">
        <v>3306</v>
      </c>
      <c r="F107" s="0" t="s">
        <v>3051</v>
      </c>
      <c r="G107" s="0" t="s">
        <v>3307</v>
      </c>
    </row>
    <row customHeight="1" ht="11.25">
      <c r="A108" s="486" t="s">
        <v>16</v>
      </c>
      <c r="B108" s="0" t="s">
        <v>3300</v>
      </c>
      <c r="C108" s="0" t="s">
        <v>3301</v>
      </c>
      <c r="D108" s="0" t="s">
        <v>3308</v>
      </c>
      <c r="E108" s="0" t="s">
        <v>3309</v>
      </c>
      <c r="F108" s="0" t="s">
        <v>3051</v>
      </c>
      <c r="G108" s="0" t="s">
        <v>3310</v>
      </c>
    </row>
    <row customHeight="1" ht="11.25">
      <c r="A109" s="486" t="s">
        <v>16</v>
      </c>
      <c r="B109" s="0" t="s">
        <v>3300</v>
      </c>
      <c r="C109" s="0" t="s">
        <v>3301</v>
      </c>
      <c r="D109" s="0" t="s">
        <v>3300</v>
      </c>
      <c r="E109" s="0" t="s">
        <v>3301</v>
      </c>
      <c r="F109" s="0" t="s">
        <v>3052</v>
      </c>
      <c r="G109" s="0" t="s">
        <v>3311</v>
      </c>
    </row>
    <row customHeight="1" ht="11.25">
      <c r="A110" s="486" t="s">
        <v>16</v>
      </c>
      <c r="B110" s="0" t="s">
        <v>3300</v>
      </c>
      <c r="C110" s="0" t="s">
        <v>3301</v>
      </c>
      <c r="D110" s="0" t="s">
        <v>3312</v>
      </c>
      <c r="E110" s="0" t="s">
        <v>3313</v>
      </c>
      <c r="F110" s="0" t="s">
        <v>3051</v>
      </c>
      <c r="G110" s="0" t="s">
        <v>3314</v>
      </c>
    </row>
    <row customHeight="1" ht="11.25">
      <c r="A111" s="486" t="s">
        <v>16</v>
      </c>
      <c r="B111" s="0" t="s">
        <v>3300</v>
      </c>
      <c r="C111" s="0" t="s">
        <v>3301</v>
      </c>
      <c r="D111" s="0" t="s">
        <v>3315</v>
      </c>
      <c r="E111" s="0" t="s">
        <v>3316</v>
      </c>
      <c r="F111" s="0" t="s">
        <v>3051</v>
      </c>
      <c r="G111" s="0" t="s">
        <v>3317</v>
      </c>
    </row>
    <row customHeight="1" ht="11.25">
      <c r="A112" s="486" t="s">
        <v>16</v>
      </c>
      <c r="B112" s="0" t="s">
        <v>3300</v>
      </c>
      <c r="C112" s="0" t="s">
        <v>3301</v>
      </c>
      <c r="D112" s="0" t="s">
        <v>3318</v>
      </c>
      <c r="E112" s="0" t="s">
        <v>3319</v>
      </c>
      <c r="F112" s="0" t="s">
        <v>3051</v>
      </c>
      <c r="G112" s="0" t="s">
        <v>3320</v>
      </c>
    </row>
    <row customHeight="1" ht="11.25">
      <c r="A113" s="486" t="s">
        <v>16</v>
      </c>
      <c r="B113" s="0" t="s">
        <v>3300</v>
      </c>
      <c r="C113" s="0" t="s">
        <v>3301</v>
      </c>
      <c r="D113" s="0" t="s">
        <v>3321</v>
      </c>
      <c r="E113" s="0" t="s">
        <v>3322</v>
      </c>
      <c r="F113" s="0" t="s">
        <v>3051</v>
      </c>
      <c r="G113" s="0" t="s">
        <v>3323</v>
      </c>
    </row>
    <row customHeight="1" ht="11.25">
      <c r="A114" s="486" t="s">
        <v>16</v>
      </c>
      <c r="B114" s="0" t="s">
        <v>3300</v>
      </c>
      <c r="C114" s="0" t="s">
        <v>3301</v>
      </c>
      <c r="D114" s="0" t="s">
        <v>3324</v>
      </c>
      <c r="E114" s="0" t="s">
        <v>3325</v>
      </c>
      <c r="F114" s="0" t="s">
        <v>3051</v>
      </c>
      <c r="G114" s="0" t="s">
        <v>3326</v>
      </c>
    </row>
    <row customHeight="1" ht="11.25">
      <c r="A115" s="486" t="s">
        <v>16</v>
      </c>
      <c r="B115" s="0" t="s">
        <v>3300</v>
      </c>
      <c r="C115" s="0" t="s">
        <v>3301</v>
      </c>
      <c r="D115" s="0" t="s">
        <v>3327</v>
      </c>
      <c r="E115" s="0" t="s">
        <v>3328</v>
      </c>
      <c r="F115" s="0" t="s">
        <v>3051</v>
      </c>
      <c r="G115" s="0" t="s">
        <v>3329</v>
      </c>
    </row>
    <row customHeight="1" ht="11.25">
      <c r="A116" s="486" t="s">
        <v>16</v>
      </c>
      <c r="B116" s="0" t="s">
        <v>3300</v>
      </c>
      <c r="C116" s="0" t="s">
        <v>3301</v>
      </c>
      <c r="D116" s="0" t="s">
        <v>3330</v>
      </c>
      <c r="E116" s="0" t="s">
        <v>3331</v>
      </c>
      <c r="F116" s="0" t="s">
        <v>3121</v>
      </c>
      <c r="G116" s="0" t="s">
        <v>3332</v>
      </c>
    </row>
    <row customHeight="1" ht="11.25">
      <c r="A117" s="486" t="s">
        <v>16</v>
      </c>
      <c r="B117" s="0" t="s">
        <v>3333</v>
      </c>
      <c r="C117" s="0" t="s">
        <v>3334</v>
      </c>
      <c r="D117" s="0" t="s">
        <v>3335</v>
      </c>
      <c r="E117" s="0" t="s">
        <v>3336</v>
      </c>
      <c r="F117" s="0" t="s">
        <v>3051</v>
      </c>
      <c r="G117" s="0" t="s">
        <v>3337</v>
      </c>
    </row>
    <row customHeight="1" ht="11.25">
      <c r="A118" s="486" t="s">
        <v>16</v>
      </c>
      <c r="B118" s="0" t="s">
        <v>3333</v>
      </c>
      <c r="C118" s="0" t="s">
        <v>3334</v>
      </c>
      <c r="D118" s="0" t="s">
        <v>3338</v>
      </c>
      <c r="E118" s="0" t="s">
        <v>3339</v>
      </c>
      <c r="F118" s="0" t="s">
        <v>3051</v>
      </c>
      <c r="G118" s="0" t="s">
        <v>3340</v>
      </c>
    </row>
    <row customHeight="1" ht="11.25">
      <c r="A119" s="486" t="s">
        <v>16</v>
      </c>
      <c r="B119" s="0" t="s">
        <v>3333</v>
      </c>
      <c r="C119" s="0" t="s">
        <v>3334</v>
      </c>
      <c r="D119" s="0" t="s">
        <v>3333</v>
      </c>
      <c r="E119" s="0" t="s">
        <v>3334</v>
      </c>
      <c r="F119" s="0" t="s">
        <v>3052</v>
      </c>
      <c r="G119" s="0" t="s">
        <v>3341</v>
      </c>
    </row>
    <row customHeight="1" ht="11.25">
      <c r="A120" s="486" t="s">
        <v>16</v>
      </c>
      <c r="B120" s="0" t="s">
        <v>3333</v>
      </c>
      <c r="C120" s="0" t="s">
        <v>3334</v>
      </c>
      <c r="D120" s="0" t="s">
        <v>3342</v>
      </c>
      <c r="E120" s="0" t="s">
        <v>3343</v>
      </c>
      <c r="F120" s="0" t="s">
        <v>3051</v>
      </c>
      <c r="G120" s="0" t="s">
        <v>3344</v>
      </c>
    </row>
    <row customHeight="1" ht="11.25">
      <c r="A121" s="486" t="s">
        <v>16</v>
      </c>
      <c r="B121" s="0" t="s">
        <v>3333</v>
      </c>
      <c r="C121" s="0" t="s">
        <v>3334</v>
      </c>
      <c r="D121" s="0" t="s">
        <v>3085</v>
      </c>
      <c r="E121" s="0" t="s">
        <v>3345</v>
      </c>
      <c r="F121" s="0" t="s">
        <v>3051</v>
      </c>
      <c r="G121" s="0" t="s">
        <v>3346</v>
      </c>
    </row>
    <row customHeight="1" ht="11.25">
      <c r="A122" s="486" t="s">
        <v>16</v>
      </c>
      <c r="B122" s="0" t="s">
        <v>3333</v>
      </c>
      <c r="C122" s="0" t="s">
        <v>3334</v>
      </c>
      <c r="D122" s="0" t="s">
        <v>3347</v>
      </c>
      <c r="E122" s="0" t="s">
        <v>3348</v>
      </c>
      <c r="F122" s="0" t="s">
        <v>3051</v>
      </c>
      <c r="G122" s="0" t="s">
        <v>3349</v>
      </c>
    </row>
    <row customHeight="1" ht="11.25">
      <c r="A123" s="486" t="s">
        <v>16</v>
      </c>
      <c r="B123" s="0" t="s">
        <v>3333</v>
      </c>
      <c r="C123" s="0" t="s">
        <v>3334</v>
      </c>
      <c r="D123" s="0" t="s">
        <v>3350</v>
      </c>
      <c r="E123" s="0" t="s">
        <v>3351</v>
      </c>
      <c r="F123" s="0" t="s">
        <v>3051</v>
      </c>
      <c r="G123" s="0" t="s">
        <v>3352</v>
      </c>
    </row>
    <row customHeight="1" ht="11.25">
      <c r="A124" s="486" t="s">
        <v>16</v>
      </c>
      <c r="B124" s="0" t="s">
        <v>3333</v>
      </c>
      <c r="C124" s="0" t="s">
        <v>3334</v>
      </c>
      <c r="D124" s="0" t="s">
        <v>3353</v>
      </c>
      <c r="E124" s="0" t="s">
        <v>3354</v>
      </c>
      <c r="F124" s="0" t="s">
        <v>3051</v>
      </c>
      <c r="G124" s="0" t="s">
        <v>3355</v>
      </c>
    </row>
    <row customHeight="1" ht="11.25">
      <c r="A125" s="486" t="s">
        <v>16</v>
      </c>
      <c r="B125" s="0" t="s">
        <v>3333</v>
      </c>
      <c r="C125" s="0" t="s">
        <v>3334</v>
      </c>
      <c r="D125" s="0" t="s">
        <v>3356</v>
      </c>
      <c r="E125" s="0" t="s">
        <v>3357</v>
      </c>
      <c r="F125" s="0" t="s">
        <v>3051</v>
      </c>
      <c r="G125" s="0" t="s">
        <v>3358</v>
      </c>
    </row>
    <row customHeight="1" ht="11.25">
      <c r="A126" s="486" t="s">
        <v>16</v>
      </c>
      <c r="B126" s="0" t="s">
        <v>3333</v>
      </c>
      <c r="C126" s="0" t="s">
        <v>3334</v>
      </c>
      <c r="D126" s="0" t="s">
        <v>3359</v>
      </c>
      <c r="E126" s="0" t="s">
        <v>3360</v>
      </c>
      <c r="F126" s="0" t="s">
        <v>3051</v>
      </c>
      <c r="G126" s="0" t="s">
        <v>3361</v>
      </c>
    </row>
    <row customHeight="1" ht="11.25">
      <c r="A127" s="486" t="s">
        <v>16</v>
      </c>
      <c r="B127" s="0" t="s">
        <v>3333</v>
      </c>
      <c r="C127" s="0" t="s">
        <v>3334</v>
      </c>
      <c r="D127" s="0" t="s">
        <v>3362</v>
      </c>
      <c r="E127" s="0" t="s">
        <v>3363</v>
      </c>
      <c r="F127" s="0" t="s">
        <v>3121</v>
      </c>
      <c r="G127" s="0" t="s">
        <v>3364</v>
      </c>
    </row>
    <row customHeight="1" ht="11.25">
      <c r="A128" s="486" t="s">
        <v>16</v>
      </c>
      <c r="B128" s="0" t="s">
        <v>100</v>
      </c>
      <c r="C128" s="0" t="s">
        <v>3365</v>
      </c>
      <c r="D128" s="0" t="s">
        <v>101</v>
      </c>
      <c r="E128" s="0" t="s">
        <v>102</v>
      </c>
      <c r="F128" s="0" t="s">
        <v>3051</v>
      </c>
      <c r="G128" s="0" t="s">
        <v>99</v>
      </c>
    </row>
    <row customHeight="1" ht="11.25">
      <c r="A129" s="486" t="s">
        <v>16</v>
      </c>
      <c r="B129" s="0" t="s">
        <v>100</v>
      </c>
      <c r="C129" s="0" t="s">
        <v>3365</v>
      </c>
      <c r="D129" s="0" t="s">
        <v>108</v>
      </c>
      <c r="E129" s="0" t="s">
        <v>109</v>
      </c>
      <c r="F129" s="0" t="s">
        <v>3051</v>
      </c>
      <c r="G129" s="0" t="s">
        <v>107</v>
      </c>
    </row>
    <row customHeight="1" ht="11.25">
      <c r="A130" s="486" t="s">
        <v>16</v>
      </c>
      <c r="B130" s="0" t="s">
        <v>100</v>
      </c>
      <c r="C130" s="0" t="s">
        <v>3365</v>
      </c>
      <c r="D130" s="0" t="s">
        <v>112</v>
      </c>
      <c r="E130" s="0" t="s">
        <v>113</v>
      </c>
      <c r="F130" s="0" t="s">
        <v>3051</v>
      </c>
      <c r="G130" s="0" t="s">
        <v>111</v>
      </c>
    </row>
    <row customHeight="1" ht="11.25">
      <c r="A131" s="486" t="s">
        <v>16</v>
      </c>
      <c r="B131" s="0" t="s">
        <v>100</v>
      </c>
      <c r="C131" s="0" t="s">
        <v>3365</v>
      </c>
      <c r="D131" s="0" t="s">
        <v>116</v>
      </c>
      <c r="E131" s="0" t="s">
        <v>117</v>
      </c>
      <c r="F131" s="0" t="s">
        <v>3051</v>
      </c>
      <c r="G131" s="0" t="s">
        <v>115</v>
      </c>
    </row>
    <row customHeight="1" ht="11.25">
      <c r="A132" s="486" t="s">
        <v>16</v>
      </c>
      <c r="B132" s="0" t="s">
        <v>100</v>
      </c>
      <c r="C132" s="0" t="s">
        <v>3365</v>
      </c>
      <c r="D132" s="0" t="s">
        <v>121</v>
      </c>
      <c r="E132" s="0" t="s">
        <v>122</v>
      </c>
      <c r="F132" s="0" t="s">
        <v>3051</v>
      </c>
      <c r="G132" s="0" t="s">
        <v>120</v>
      </c>
    </row>
    <row customHeight="1" ht="11.25">
      <c r="A133" s="486" t="s">
        <v>16</v>
      </c>
      <c r="B133" s="0" t="s">
        <v>100</v>
      </c>
      <c r="C133" s="0" t="s">
        <v>3365</v>
      </c>
      <c r="D133" s="0" t="s">
        <v>125</v>
      </c>
      <c r="E133" s="0" t="s">
        <v>126</v>
      </c>
      <c r="F133" s="0" t="s">
        <v>3051</v>
      </c>
      <c r="G133" s="0" t="s">
        <v>124</v>
      </c>
    </row>
    <row customHeight="1" ht="11.25">
      <c r="A134" s="486" t="s">
        <v>16</v>
      </c>
      <c r="B134" s="0" t="s">
        <v>100</v>
      </c>
      <c r="C134" s="0" t="s">
        <v>3365</v>
      </c>
      <c r="D134" s="0" t="s">
        <v>100</v>
      </c>
      <c r="E134" s="0" t="s">
        <v>3365</v>
      </c>
      <c r="F134" s="0" t="s">
        <v>3052</v>
      </c>
      <c r="G134" s="0" t="s">
        <v>3366</v>
      </c>
    </row>
    <row customHeight="1" ht="11.25">
      <c r="A135" s="486" t="s">
        <v>16</v>
      </c>
      <c r="B135" s="0" t="s">
        <v>100</v>
      </c>
      <c r="C135" s="0" t="s">
        <v>3365</v>
      </c>
      <c r="D135" s="0" t="s">
        <v>129</v>
      </c>
      <c r="E135" s="0" t="s">
        <v>130</v>
      </c>
      <c r="F135" s="0" t="s">
        <v>3051</v>
      </c>
      <c r="G135" s="0" t="s">
        <v>128</v>
      </c>
    </row>
    <row customHeight="1" ht="11.25">
      <c r="A136" s="486" t="s">
        <v>16</v>
      </c>
      <c r="B136" s="0" t="s">
        <v>100</v>
      </c>
      <c r="C136" s="0" t="s">
        <v>3365</v>
      </c>
      <c r="D136" s="0" t="s">
        <v>134</v>
      </c>
      <c r="E136" s="0" t="s">
        <v>135</v>
      </c>
      <c r="F136" s="0" t="s">
        <v>3051</v>
      </c>
      <c r="G136" s="0" t="s">
        <v>133</v>
      </c>
    </row>
    <row customHeight="1" ht="11.25">
      <c r="A137" s="486" t="s">
        <v>16</v>
      </c>
      <c r="B137" s="0" t="s">
        <v>100</v>
      </c>
      <c r="C137" s="0" t="s">
        <v>3365</v>
      </c>
      <c r="D137" s="0" t="s">
        <v>139</v>
      </c>
      <c r="E137" s="0" t="s">
        <v>140</v>
      </c>
      <c r="F137" s="0" t="s">
        <v>3051</v>
      </c>
      <c r="G137" s="0" t="s">
        <v>138</v>
      </c>
    </row>
    <row customHeight="1" ht="11.25">
      <c r="A138" s="486" t="s">
        <v>16</v>
      </c>
      <c r="B138" s="0" t="s">
        <v>100</v>
      </c>
      <c r="C138" s="0" t="s">
        <v>3365</v>
      </c>
      <c r="D138" s="0" t="s">
        <v>144</v>
      </c>
      <c r="E138" s="0" t="s">
        <v>145</v>
      </c>
      <c r="F138" s="0" t="s">
        <v>3051</v>
      </c>
      <c r="G138" s="0" t="s">
        <v>143</v>
      </c>
    </row>
    <row customHeight="1" ht="11.25">
      <c r="A139" s="486" t="s">
        <v>16</v>
      </c>
      <c r="B139" s="0" t="s">
        <v>100</v>
      </c>
      <c r="C139" s="0" t="s">
        <v>3365</v>
      </c>
      <c r="D139" s="0" t="s">
        <v>149</v>
      </c>
      <c r="E139" s="0" t="s">
        <v>150</v>
      </c>
      <c r="F139" s="0" t="s">
        <v>3051</v>
      </c>
      <c r="G139" s="0" t="s">
        <v>148</v>
      </c>
    </row>
    <row customHeight="1" ht="11.25">
      <c r="A140" s="486" t="s">
        <v>16</v>
      </c>
      <c r="B140" s="0" t="s">
        <v>100</v>
      </c>
      <c r="C140" s="0" t="s">
        <v>3365</v>
      </c>
      <c r="D140" s="0" t="s">
        <v>154</v>
      </c>
      <c r="E140" s="0" t="s">
        <v>155</v>
      </c>
      <c r="F140" s="0" t="s">
        <v>3051</v>
      </c>
      <c r="G140" s="0" t="s">
        <v>153</v>
      </c>
    </row>
    <row customHeight="1" ht="11.25">
      <c r="A141" s="486" t="s">
        <v>16</v>
      </c>
      <c r="B141" s="0" t="s">
        <v>100</v>
      </c>
      <c r="C141" s="0" t="s">
        <v>3365</v>
      </c>
      <c r="D141" s="0" t="s">
        <v>159</v>
      </c>
      <c r="E141" s="0" t="s">
        <v>160</v>
      </c>
      <c r="F141" s="0" t="s">
        <v>3051</v>
      </c>
      <c r="G141" s="0" t="s">
        <v>158</v>
      </c>
    </row>
    <row customHeight="1" ht="11.25">
      <c r="A142" s="486" t="s">
        <v>16</v>
      </c>
      <c r="B142" s="0" t="s">
        <v>100</v>
      </c>
      <c r="C142" s="0" t="s">
        <v>3365</v>
      </c>
      <c r="D142" s="0" t="s">
        <v>164</v>
      </c>
      <c r="E142" s="0" t="s">
        <v>165</v>
      </c>
      <c r="F142" s="0" t="s">
        <v>3051</v>
      </c>
      <c r="G142" s="0" t="s">
        <v>163</v>
      </c>
    </row>
    <row customHeight="1" ht="11.25">
      <c r="A143" s="486" t="s">
        <v>16</v>
      </c>
      <c r="B143" s="0" t="s">
        <v>100</v>
      </c>
      <c r="C143" s="0" t="s">
        <v>3365</v>
      </c>
      <c r="D143" s="0" t="s">
        <v>169</v>
      </c>
      <c r="E143" s="0" t="s">
        <v>170</v>
      </c>
      <c r="F143" s="0" t="s">
        <v>3051</v>
      </c>
      <c r="G143" s="0" t="s">
        <v>168</v>
      </c>
    </row>
    <row customHeight="1" ht="11.25">
      <c r="A144" s="486" t="s">
        <v>16</v>
      </c>
      <c r="B144" s="0" t="s">
        <v>100</v>
      </c>
      <c r="C144" s="0" t="s">
        <v>3365</v>
      </c>
      <c r="D144" s="0" t="s">
        <v>174</v>
      </c>
      <c r="E144" s="0" t="s">
        <v>175</v>
      </c>
      <c r="F144" s="0" t="s">
        <v>3051</v>
      </c>
      <c r="G144" s="0" t="s">
        <v>173</v>
      </c>
    </row>
    <row customHeight="1" ht="11.25">
      <c r="A145" s="486" t="s">
        <v>16</v>
      </c>
      <c r="B145" s="0" t="s">
        <v>100</v>
      </c>
      <c r="C145" s="0" t="s">
        <v>3365</v>
      </c>
      <c r="D145" s="0" t="s">
        <v>179</v>
      </c>
      <c r="E145" s="0" t="s">
        <v>180</v>
      </c>
      <c r="F145" s="0" t="s">
        <v>3051</v>
      </c>
      <c r="G145" s="0" t="s">
        <v>178</v>
      </c>
    </row>
    <row customHeight="1" ht="11.25">
      <c r="A146" s="486" t="s">
        <v>16</v>
      </c>
      <c r="B146" s="0" t="s">
        <v>3367</v>
      </c>
      <c r="C146" s="0" t="s">
        <v>3368</v>
      </c>
      <c r="D146" s="0" t="s">
        <v>3369</v>
      </c>
      <c r="E146" s="0" t="s">
        <v>3370</v>
      </c>
      <c r="F146" s="0" t="s">
        <v>3051</v>
      </c>
      <c r="G146" s="0" t="s">
        <v>3371</v>
      </c>
    </row>
    <row customHeight="1" ht="11.25">
      <c r="A147" s="486" t="s">
        <v>16</v>
      </c>
      <c r="B147" s="0" t="s">
        <v>3367</v>
      </c>
      <c r="C147" s="0" t="s">
        <v>3368</v>
      </c>
      <c r="D147" s="0" t="s">
        <v>3372</v>
      </c>
      <c r="E147" s="0" t="s">
        <v>3373</v>
      </c>
      <c r="F147" s="0" t="s">
        <v>3051</v>
      </c>
      <c r="G147" s="0" t="s">
        <v>3374</v>
      </c>
    </row>
    <row customHeight="1" ht="11.25">
      <c r="A148" s="486" t="s">
        <v>16</v>
      </c>
      <c r="B148" s="0" t="s">
        <v>3367</v>
      </c>
      <c r="C148" s="0" t="s">
        <v>3368</v>
      </c>
      <c r="D148" s="0" t="s">
        <v>3375</v>
      </c>
      <c r="E148" s="0" t="s">
        <v>3376</v>
      </c>
      <c r="F148" s="0" t="s">
        <v>3051</v>
      </c>
      <c r="G148" s="0" t="s">
        <v>3377</v>
      </c>
    </row>
    <row customHeight="1" ht="11.25">
      <c r="A149" s="486" t="s">
        <v>16</v>
      </c>
      <c r="B149" s="0" t="s">
        <v>3367</v>
      </c>
      <c r="C149" s="0" t="s">
        <v>3368</v>
      </c>
      <c r="D149" s="0" t="s">
        <v>3378</v>
      </c>
      <c r="E149" s="0" t="s">
        <v>3379</v>
      </c>
      <c r="F149" s="0" t="s">
        <v>3051</v>
      </c>
      <c r="G149" s="0" t="s">
        <v>3380</v>
      </c>
    </row>
    <row customHeight="1" ht="11.25">
      <c r="A150" s="486" t="s">
        <v>16</v>
      </c>
      <c r="B150" s="0" t="s">
        <v>3367</v>
      </c>
      <c r="C150" s="0" t="s">
        <v>3368</v>
      </c>
      <c r="D150" s="0" t="s">
        <v>3367</v>
      </c>
      <c r="E150" s="0" t="s">
        <v>3368</v>
      </c>
      <c r="F150" s="0" t="s">
        <v>3052</v>
      </c>
      <c r="G150" s="0" t="s">
        <v>3381</v>
      </c>
    </row>
    <row customHeight="1" ht="11.25">
      <c r="A151" s="486" t="s">
        <v>16</v>
      </c>
      <c r="B151" s="0" t="s">
        <v>3367</v>
      </c>
      <c r="C151" s="0" t="s">
        <v>3368</v>
      </c>
      <c r="D151" s="0" t="s">
        <v>3382</v>
      </c>
      <c r="E151" s="0" t="s">
        <v>3383</v>
      </c>
      <c r="F151" s="0" t="s">
        <v>3051</v>
      </c>
      <c r="G151" s="0" t="s">
        <v>3384</v>
      </c>
    </row>
    <row customHeight="1" ht="11.25">
      <c r="A152" s="486" t="s">
        <v>16</v>
      </c>
      <c r="B152" s="0" t="s">
        <v>3367</v>
      </c>
      <c r="C152" s="0" t="s">
        <v>3368</v>
      </c>
      <c r="D152" s="0" t="s">
        <v>3385</v>
      </c>
      <c r="E152" s="0" t="s">
        <v>3386</v>
      </c>
      <c r="F152" s="0" t="s">
        <v>3051</v>
      </c>
      <c r="G152" s="0" t="s">
        <v>3387</v>
      </c>
    </row>
    <row customHeight="1" ht="11.25">
      <c r="A153" s="486" t="s">
        <v>16</v>
      </c>
      <c r="B153" s="0" t="s">
        <v>3367</v>
      </c>
      <c r="C153" s="0" t="s">
        <v>3368</v>
      </c>
      <c r="D153" s="0" t="s">
        <v>3388</v>
      </c>
      <c r="E153" s="0" t="s">
        <v>3389</v>
      </c>
      <c r="F153" s="0" t="s">
        <v>3121</v>
      </c>
      <c r="G153" s="0" t="s">
        <v>3390</v>
      </c>
    </row>
    <row customHeight="1" ht="11.25">
      <c r="A154" s="486" t="s">
        <v>16</v>
      </c>
      <c r="B154" s="0" t="s">
        <v>3367</v>
      </c>
      <c r="C154" s="0" t="s">
        <v>3368</v>
      </c>
      <c r="D154" s="0" t="s">
        <v>3391</v>
      </c>
      <c r="E154" s="0" t="s">
        <v>3392</v>
      </c>
      <c r="F154" s="0" t="s">
        <v>3121</v>
      </c>
      <c r="G154" s="0" t="s">
        <v>3393</v>
      </c>
    </row>
    <row customHeight="1" ht="11.25">
      <c r="A155" s="486" t="s">
        <v>16</v>
      </c>
      <c r="B155" s="0" t="s">
        <v>3394</v>
      </c>
      <c r="C155" s="0" t="s">
        <v>3395</v>
      </c>
      <c r="D155" s="0" t="s">
        <v>3396</v>
      </c>
      <c r="E155" s="0" t="s">
        <v>3397</v>
      </c>
      <c r="F155" s="0" t="s">
        <v>3051</v>
      </c>
      <c r="G155" s="0" t="s">
        <v>3398</v>
      </c>
    </row>
    <row customHeight="1" ht="11.25">
      <c r="A156" s="486" t="s">
        <v>16</v>
      </c>
      <c r="B156" s="0" t="s">
        <v>3394</v>
      </c>
      <c r="C156" s="0" t="s">
        <v>3395</v>
      </c>
      <c r="D156" s="0" t="s">
        <v>3399</v>
      </c>
      <c r="E156" s="0" t="s">
        <v>3400</v>
      </c>
      <c r="F156" s="0" t="s">
        <v>3051</v>
      </c>
      <c r="G156" s="0" t="s">
        <v>3401</v>
      </c>
    </row>
    <row customHeight="1" ht="11.25">
      <c r="A157" s="486" t="s">
        <v>16</v>
      </c>
      <c r="B157" s="0" t="s">
        <v>3394</v>
      </c>
      <c r="C157" s="0" t="s">
        <v>3395</v>
      </c>
      <c r="D157" s="0" t="s">
        <v>3402</v>
      </c>
      <c r="E157" s="0" t="s">
        <v>3403</v>
      </c>
      <c r="F157" s="0" t="s">
        <v>3051</v>
      </c>
      <c r="G157" s="0" t="s">
        <v>3404</v>
      </c>
    </row>
    <row customHeight="1" ht="11.25">
      <c r="A158" s="486" t="s">
        <v>16</v>
      </c>
      <c r="B158" s="0" t="s">
        <v>3394</v>
      </c>
      <c r="C158" s="0" t="s">
        <v>3395</v>
      </c>
      <c r="D158" s="0" t="s">
        <v>3405</v>
      </c>
      <c r="E158" s="0" t="s">
        <v>3406</v>
      </c>
      <c r="F158" s="0" t="s">
        <v>3051</v>
      </c>
      <c r="G158" s="0" t="s">
        <v>3407</v>
      </c>
    </row>
    <row customHeight="1" ht="11.25">
      <c r="A159" s="486" t="s">
        <v>16</v>
      </c>
      <c r="B159" s="0" t="s">
        <v>3394</v>
      </c>
      <c r="C159" s="0" t="s">
        <v>3395</v>
      </c>
      <c r="D159" s="0" t="s">
        <v>3408</v>
      </c>
      <c r="E159" s="0" t="s">
        <v>3409</v>
      </c>
      <c r="F159" s="0" t="s">
        <v>3051</v>
      </c>
      <c r="G159" s="0" t="s">
        <v>3410</v>
      </c>
    </row>
    <row customHeight="1" ht="11.25">
      <c r="A160" s="486" t="s">
        <v>16</v>
      </c>
      <c r="B160" s="0" t="s">
        <v>3394</v>
      </c>
      <c r="C160" s="0" t="s">
        <v>3395</v>
      </c>
      <c r="D160" s="0" t="s">
        <v>3411</v>
      </c>
      <c r="E160" s="0" t="s">
        <v>3412</v>
      </c>
      <c r="F160" s="0" t="s">
        <v>3051</v>
      </c>
      <c r="G160" s="0" t="s">
        <v>3413</v>
      </c>
    </row>
    <row customHeight="1" ht="11.25">
      <c r="A161" s="486" t="s">
        <v>16</v>
      </c>
      <c r="B161" s="0" t="s">
        <v>3394</v>
      </c>
      <c r="C161" s="0" t="s">
        <v>3395</v>
      </c>
      <c r="D161" s="0" t="s">
        <v>3394</v>
      </c>
      <c r="E161" s="0" t="s">
        <v>3395</v>
      </c>
      <c r="F161" s="0" t="s">
        <v>3052</v>
      </c>
      <c r="G161" s="0" t="s">
        <v>3414</v>
      </c>
    </row>
    <row customHeight="1" ht="11.25">
      <c r="A162" s="486" t="s">
        <v>16</v>
      </c>
      <c r="B162" s="0" t="s">
        <v>3394</v>
      </c>
      <c r="C162" s="0" t="s">
        <v>3395</v>
      </c>
      <c r="D162" s="0" t="s">
        <v>3415</v>
      </c>
      <c r="E162" s="0" t="s">
        <v>3416</v>
      </c>
      <c r="F162" s="0" t="s">
        <v>3051</v>
      </c>
      <c r="G162" s="0" t="s">
        <v>3417</v>
      </c>
    </row>
    <row customHeight="1" ht="11.25">
      <c r="A163" s="486" t="s">
        <v>16</v>
      </c>
      <c r="B163" s="0" t="s">
        <v>3394</v>
      </c>
      <c r="C163" s="0" t="s">
        <v>3395</v>
      </c>
      <c r="D163" s="0" t="s">
        <v>3418</v>
      </c>
      <c r="E163" s="0" t="s">
        <v>3419</v>
      </c>
      <c r="F163" s="0" t="s">
        <v>3051</v>
      </c>
      <c r="G163" s="0" t="s">
        <v>3420</v>
      </c>
    </row>
    <row customHeight="1" ht="11.25">
      <c r="A164" s="486" t="s">
        <v>16</v>
      </c>
      <c r="B164" s="0" t="s">
        <v>3421</v>
      </c>
      <c r="C164" s="0" t="s">
        <v>3422</v>
      </c>
      <c r="D164" s="0" t="s">
        <v>3423</v>
      </c>
      <c r="E164" s="0" t="s">
        <v>3424</v>
      </c>
      <c r="F164" s="0" t="s">
        <v>3051</v>
      </c>
      <c r="G164" s="0" t="s">
        <v>3425</v>
      </c>
    </row>
    <row customHeight="1" ht="11.25">
      <c r="A165" s="486" t="s">
        <v>16</v>
      </c>
      <c r="B165" s="0" t="s">
        <v>3421</v>
      </c>
      <c r="C165" s="0" t="s">
        <v>3422</v>
      </c>
      <c r="D165" s="0" t="s">
        <v>3426</v>
      </c>
      <c r="E165" s="0" t="s">
        <v>3427</v>
      </c>
      <c r="F165" s="0" t="s">
        <v>3051</v>
      </c>
      <c r="G165" s="0" t="s">
        <v>3428</v>
      </c>
    </row>
    <row customHeight="1" ht="11.25">
      <c r="A166" s="486" t="s">
        <v>16</v>
      </c>
      <c r="B166" s="0" t="s">
        <v>3421</v>
      </c>
      <c r="C166" s="0" t="s">
        <v>3422</v>
      </c>
      <c r="D166" s="0" t="s">
        <v>3421</v>
      </c>
      <c r="E166" s="0" t="s">
        <v>3422</v>
      </c>
      <c r="F166" s="0" t="s">
        <v>3052</v>
      </c>
      <c r="G166" s="0" t="s">
        <v>3429</v>
      </c>
    </row>
    <row customHeight="1" ht="11.25">
      <c r="A167" s="486" t="s">
        <v>16</v>
      </c>
      <c r="B167" s="0" t="s">
        <v>3421</v>
      </c>
      <c r="C167" s="0" t="s">
        <v>3422</v>
      </c>
      <c r="D167" s="0" t="s">
        <v>3430</v>
      </c>
      <c r="E167" s="0" t="s">
        <v>3431</v>
      </c>
      <c r="F167" s="0" t="s">
        <v>3051</v>
      </c>
      <c r="G167" s="0" t="s">
        <v>3432</v>
      </c>
    </row>
    <row customHeight="1" ht="11.25">
      <c r="A168" s="486" t="s">
        <v>16</v>
      </c>
      <c r="B168" s="0" t="s">
        <v>3421</v>
      </c>
      <c r="C168" s="0" t="s">
        <v>3422</v>
      </c>
      <c r="D168" s="0" t="s">
        <v>3433</v>
      </c>
      <c r="E168" s="0" t="s">
        <v>3434</v>
      </c>
      <c r="F168" s="0" t="s">
        <v>3051</v>
      </c>
      <c r="G168" s="0" t="s">
        <v>3435</v>
      </c>
    </row>
    <row customHeight="1" ht="11.25">
      <c r="A169" s="486" t="s">
        <v>16</v>
      </c>
      <c r="B169" s="0" t="s">
        <v>3421</v>
      </c>
      <c r="C169" s="0" t="s">
        <v>3422</v>
      </c>
      <c r="D169" s="0" t="s">
        <v>3436</v>
      </c>
      <c r="E169" s="0" t="s">
        <v>3437</v>
      </c>
      <c r="F169" s="0" t="s">
        <v>3051</v>
      </c>
      <c r="G169" s="0" t="s">
        <v>3438</v>
      </c>
    </row>
    <row customHeight="1" ht="11.25">
      <c r="A170" s="486" t="s">
        <v>16</v>
      </c>
      <c r="B170" s="0" t="s">
        <v>3421</v>
      </c>
      <c r="C170" s="0" t="s">
        <v>3422</v>
      </c>
      <c r="D170" s="0" t="s">
        <v>3439</v>
      </c>
      <c r="E170" s="0" t="s">
        <v>3440</v>
      </c>
      <c r="F170" s="0" t="s">
        <v>3051</v>
      </c>
      <c r="G170" s="0" t="s">
        <v>3441</v>
      </c>
    </row>
    <row customHeight="1" ht="11.25">
      <c r="A171" s="486" t="s">
        <v>16</v>
      </c>
      <c r="B171" s="0" t="s">
        <v>3421</v>
      </c>
      <c r="C171" s="0" t="s">
        <v>3422</v>
      </c>
      <c r="D171" s="0" t="s">
        <v>3442</v>
      </c>
      <c r="E171" s="0" t="s">
        <v>3443</v>
      </c>
      <c r="F171" s="0" t="s">
        <v>3051</v>
      </c>
      <c r="G171" s="0" t="s">
        <v>3444</v>
      </c>
    </row>
    <row customHeight="1" ht="11.25">
      <c r="A172" s="486" t="s">
        <v>16</v>
      </c>
      <c r="B172" s="0" t="s">
        <v>3445</v>
      </c>
      <c r="C172" s="0" t="s">
        <v>3446</v>
      </c>
      <c r="D172" s="0" t="s">
        <v>3447</v>
      </c>
      <c r="E172" s="0" t="s">
        <v>3448</v>
      </c>
      <c r="F172" s="0" t="s">
        <v>3051</v>
      </c>
      <c r="G172" s="0" t="s">
        <v>3449</v>
      </c>
    </row>
    <row customHeight="1" ht="11.25">
      <c r="A173" s="486" t="s">
        <v>16</v>
      </c>
      <c r="B173" s="0" t="s">
        <v>3445</v>
      </c>
      <c r="C173" s="0" t="s">
        <v>3446</v>
      </c>
      <c r="D173" s="0" t="s">
        <v>3450</v>
      </c>
      <c r="E173" s="0" t="s">
        <v>3451</v>
      </c>
      <c r="F173" s="0" t="s">
        <v>3051</v>
      </c>
      <c r="G173" s="0" t="s">
        <v>3452</v>
      </c>
    </row>
    <row customHeight="1" ht="11.25">
      <c r="A174" s="486" t="s">
        <v>16</v>
      </c>
      <c r="B174" s="0" t="s">
        <v>3445</v>
      </c>
      <c r="C174" s="0" t="s">
        <v>3446</v>
      </c>
      <c r="D174" s="0" t="s">
        <v>3453</v>
      </c>
      <c r="E174" s="0" t="s">
        <v>3454</v>
      </c>
      <c r="F174" s="0" t="s">
        <v>3051</v>
      </c>
      <c r="G174" s="0" t="s">
        <v>3455</v>
      </c>
    </row>
    <row customHeight="1" ht="11.25">
      <c r="A175" s="486" t="s">
        <v>16</v>
      </c>
      <c r="B175" s="0" t="s">
        <v>3445</v>
      </c>
      <c r="C175" s="0" t="s">
        <v>3446</v>
      </c>
      <c r="D175" s="0" t="s">
        <v>3456</v>
      </c>
      <c r="E175" s="0" t="s">
        <v>3457</v>
      </c>
      <c r="F175" s="0" t="s">
        <v>3051</v>
      </c>
      <c r="G175" s="0" t="s">
        <v>3458</v>
      </c>
    </row>
    <row customHeight="1" ht="11.25">
      <c r="A176" s="486" t="s">
        <v>16</v>
      </c>
      <c r="B176" s="0" t="s">
        <v>3445</v>
      </c>
      <c r="C176" s="0" t="s">
        <v>3446</v>
      </c>
      <c r="D176" s="0" t="s">
        <v>3459</v>
      </c>
      <c r="E176" s="0" t="s">
        <v>3460</v>
      </c>
      <c r="F176" s="0" t="s">
        <v>3051</v>
      </c>
      <c r="G176" s="0" t="s">
        <v>3461</v>
      </c>
    </row>
    <row customHeight="1" ht="11.25">
      <c r="A177" s="486" t="s">
        <v>16</v>
      </c>
      <c r="B177" s="0" t="s">
        <v>3445</v>
      </c>
      <c r="C177" s="0" t="s">
        <v>3446</v>
      </c>
      <c r="D177" s="0" t="s">
        <v>3445</v>
      </c>
      <c r="E177" s="0" t="s">
        <v>3446</v>
      </c>
      <c r="F177" s="0" t="s">
        <v>3052</v>
      </c>
      <c r="G177" s="0" t="s">
        <v>3462</v>
      </c>
    </row>
    <row customHeight="1" ht="11.25">
      <c r="A178" s="486" t="s">
        <v>16</v>
      </c>
      <c r="B178" s="0" t="s">
        <v>3445</v>
      </c>
      <c r="C178" s="0" t="s">
        <v>3446</v>
      </c>
      <c r="D178" s="0" t="s">
        <v>3463</v>
      </c>
      <c r="E178" s="0" t="s">
        <v>3464</v>
      </c>
      <c r="F178" s="0" t="s">
        <v>3051</v>
      </c>
      <c r="G178" s="0" t="s">
        <v>3465</v>
      </c>
    </row>
    <row customHeight="1" ht="11.25">
      <c r="A179" s="486" t="s">
        <v>16</v>
      </c>
      <c r="B179" s="0" t="s">
        <v>3445</v>
      </c>
      <c r="C179" s="0" t="s">
        <v>3446</v>
      </c>
      <c r="D179" s="0" t="s">
        <v>3466</v>
      </c>
      <c r="E179" s="0" t="s">
        <v>3467</v>
      </c>
      <c r="F179" s="0" t="s">
        <v>3051</v>
      </c>
      <c r="G179" s="0" t="s">
        <v>3468</v>
      </c>
    </row>
    <row customHeight="1" ht="11.25">
      <c r="A180" s="486" t="s">
        <v>16</v>
      </c>
      <c r="B180" s="0" t="s">
        <v>3445</v>
      </c>
      <c r="C180" s="0" t="s">
        <v>3446</v>
      </c>
      <c r="D180" s="0" t="s">
        <v>3469</v>
      </c>
      <c r="E180" s="0" t="s">
        <v>3470</v>
      </c>
      <c r="F180" s="0" t="s">
        <v>3051</v>
      </c>
      <c r="G180" s="0" t="s">
        <v>3471</v>
      </c>
    </row>
    <row customHeight="1" ht="11.25">
      <c r="A181" s="486" t="s">
        <v>16</v>
      </c>
      <c r="B181" s="0" t="s">
        <v>3445</v>
      </c>
      <c r="C181" s="0" t="s">
        <v>3446</v>
      </c>
      <c r="D181" s="0" t="s">
        <v>3472</v>
      </c>
      <c r="E181" s="0" t="s">
        <v>3473</v>
      </c>
      <c r="F181" s="0" t="s">
        <v>3051</v>
      </c>
      <c r="G181" s="0" t="s">
        <v>3474</v>
      </c>
    </row>
    <row customHeight="1" ht="11.25">
      <c r="A182" s="486" t="s">
        <v>16</v>
      </c>
      <c r="B182" s="0" t="s">
        <v>3445</v>
      </c>
      <c r="C182" s="0" t="s">
        <v>3446</v>
      </c>
      <c r="D182" s="0" t="s">
        <v>3475</v>
      </c>
      <c r="E182" s="0" t="s">
        <v>3476</v>
      </c>
      <c r="F182" s="0" t="s">
        <v>3121</v>
      </c>
      <c r="G182" s="0" t="s">
        <v>3477</v>
      </c>
    </row>
    <row customHeight="1" ht="11.25">
      <c r="A183" s="486" t="s">
        <v>16</v>
      </c>
      <c r="B183" s="0" t="s">
        <v>3478</v>
      </c>
      <c r="C183" s="0" t="s">
        <v>3479</v>
      </c>
      <c r="D183" s="0" t="s">
        <v>3480</v>
      </c>
      <c r="E183" s="0" t="s">
        <v>3481</v>
      </c>
      <c r="F183" s="0" t="s">
        <v>3051</v>
      </c>
      <c r="G183" s="0" t="s">
        <v>3482</v>
      </c>
    </row>
    <row customHeight="1" ht="11.25">
      <c r="A184" s="486" t="s">
        <v>16</v>
      </c>
      <c r="B184" s="0" t="s">
        <v>3478</v>
      </c>
      <c r="C184" s="0" t="s">
        <v>3479</v>
      </c>
      <c r="D184" s="0" t="s">
        <v>3483</v>
      </c>
      <c r="E184" s="0" t="s">
        <v>3484</v>
      </c>
      <c r="F184" s="0" t="s">
        <v>3051</v>
      </c>
      <c r="G184" s="0" t="s">
        <v>3485</v>
      </c>
    </row>
    <row customHeight="1" ht="11.25">
      <c r="A185" s="486" t="s">
        <v>16</v>
      </c>
      <c r="B185" s="0" t="s">
        <v>3478</v>
      </c>
      <c r="C185" s="0" t="s">
        <v>3479</v>
      </c>
      <c r="D185" s="0" t="s">
        <v>3486</v>
      </c>
      <c r="E185" s="0" t="s">
        <v>3487</v>
      </c>
      <c r="F185" s="0" t="s">
        <v>3051</v>
      </c>
      <c r="G185" s="0" t="s">
        <v>3488</v>
      </c>
    </row>
    <row customHeight="1" ht="11.25">
      <c r="A186" s="486" t="s">
        <v>16</v>
      </c>
      <c r="B186" s="0" t="s">
        <v>3478</v>
      </c>
      <c r="C186" s="0" t="s">
        <v>3479</v>
      </c>
      <c r="D186" s="0" t="s">
        <v>3489</v>
      </c>
      <c r="E186" s="0" t="s">
        <v>3490</v>
      </c>
      <c r="F186" s="0" t="s">
        <v>3051</v>
      </c>
      <c r="G186" s="0" t="s">
        <v>3491</v>
      </c>
    </row>
    <row customHeight="1" ht="11.25">
      <c r="A187" s="486" t="s">
        <v>16</v>
      </c>
      <c r="B187" s="0" t="s">
        <v>3478</v>
      </c>
      <c r="C187" s="0" t="s">
        <v>3479</v>
      </c>
      <c r="D187" s="0" t="s">
        <v>3492</v>
      </c>
      <c r="E187" s="0" t="s">
        <v>3493</v>
      </c>
      <c r="F187" s="0" t="s">
        <v>3051</v>
      </c>
      <c r="G187" s="0" t="s">
        <v>3494</v>
      </c>
    </row>
    <row customHeight="1" ht="11.25">
      <c r="A188" s="486" t="s">
        <v>16</v>
      </c>
      <c r="B188" s="0" t="s">
        <v>3478</v>
      </c>
      <c r="C188" s="0" t="s">
        <v>3479</v>
      </c>
      <c r="D188" s="0" t="s">
        <v>3495</v>
      </c>
      <c r="E188" s="0" t="s">
        <v>3496</v>
      </c>
      <c r="F188" s="0" t="s">
        <v>3051</v>
      </c>
      <c r="G188" s="0" t="s">
        <v>3497</v>
      </c>
    </row>
    <row customHeight="1" ht="11.25">
      <c r="A189" s="486" t="s">
        <v>16</v>
      </c>
      <c r="B189" s="0" t="s">
        <v>3478</v>
      </c>
      <c r="C189" s="0" t="s">
        <v>3479</v>
      </c>
      <c r="D189" s="0" t="s">
        <v>3498</v>
      </c>
      <c r="E189" s="0" t="s">
        <v>3499</v>
      </c>
      <c r="F189" s="0" t="s">
        <v>3051</v>
      </c>
      <c r="G189" s="0" t="s">
        <v>3500</v>
      </c>
    </row>
    <row customHeight="1" ht="11.25">
      <c r="A190" s="486" t="s">
        <v>16</v>
      </c>
      <c r="B190" s="0" t="s">
        <v>3478</v>
      </c>
      <c r="C190" s="0" t="s">
        <v>3479</v>
      </c>
      <c r="D190" s="0" t="s">
        <v>3501</v>
      </c>
      <c r="E190" s="0" t="s">
        <v>3502</v>
      </c>
      <c r="F190" s="0" t="s">
        <v>3051</v>
      </c>
      <c r="G190" s="0" t="s">
        <v>3503</v>
      </c>
    </row>
    <row customHeight="1" ht="11.25">
      <c r="A191" s="486" t="s">
        <v>16</v>
      </c>
      <c r="B191" s="0" t="s">
        <v>3478</v>
      </c>
      <c r="C191" s="0" t="s">
        <v>3479</v>
      </c>
      <c r="D191" s="0" t="s">
        <v>3478</v>
      </c>
      <c r="E191" s="0" t="s">
        <v>3479</v>
      </c>
      <c r="F191" s="0" t="s">
        <v>3052</v>
      </c>
      <c r="G191" s="0" t="s">
        <v>3504</v>
      </c>
    </row>
    <row customHeight="1" ht="11.25">
      <c r="A192" s="486" t="s">
        <v>16</v>
      </c>
      <c r="B192" s="0" t="s">
        <v>3478</v>
      </c>
      <c r="C192" s="0" t="s">
        <v>3479</v>
      </c>
      <c r="D192" s="0" t="s">
        <v>3505</v>
      </c>
      <c r="E192" s="0" t="s">
        <v>3506</v>
      </c>
      <c r="F192" s="0" t="s">
        <v>3051</v>
      </c>
      <c r="G192" s="0" t="s">
        <v>3507</v>
      </c>
    </row>
    <row customHeight="1" ht="11.25">
      <c r="A193" s="486" t="s">
        <v>16</v>
      </c>
      <c r="B193" s="0" t="s">
        <v>3478</v>
      </c>
      <c r="C193" s="0" t="s">
        <v>3479</v>
      </c>
      <c r="D193" s="0" t="s">
        <v>3508</v>
      </c>
      <c r="E193" s="0" t="s">
        <v>3509</v>
      </c>
      <c r="F193" s="0" t="s">
        <v>3051</v>
      </c>
      <c r="G193" s="0" t="s">
        <v>3510</v>
      </c>
    </row>
    <row customHeight="1" ht="11.25">
      <c r="A194" s="486" t="s">
        <v>16</v>
      </c>
      <c r="B194" s="0" t="s">
        <v>3478</v>
      </c>
      <c r="C194" s="0" t="s">
        <v>3479</v>
      </c>
      <c r="D194" s="0" t="s">
        <v>3511</v>
      </c>
      <c r="E194" s="0" t="s">
        <v>3512</v>
      </c>
      <c r="F194" s="0" t="s">
        <v>3051</v>
      </c>
      <c r="G194" s="0" t="s">
        <v>3513</v>
      </c>
    </row>
    <row customHeight="1" ht="11.25">
      <c r="A195" s="486" t="s">
        <v>16</v>
      </c>
      <c r="B195" s="0" t="s">
        <v>3478</v>
      </c>
      <c r="C195" s="0" t="s">
        <v>3479</v>
      </c>
      <c r="D195" s="0" t="s">
        <v>3514</v>
      </c>
      <c r="E195" s="0" t="s">
        <v>3515</v>
      </c>
      <c r="F195" s="0" t="s">
        <v>3051</v>
      </c>
      <c r="G195" s="0" t="s">
        <v>3516</v>
      </c>
    </row>
    <row customHeight="1" ht="11.25">
      <c r="A196" s="486" t="s">
        <v>16</v>
      </c>
      <c r="B196" s="0" t="s">
        <v>3478</v>
      </c>
      <c r="C196" s="0" t="s">
        <v>3479</v>
      </c>
      <c r="D196" s="0" t="s">
        <v>3517</v>
      </c>
      <c r="E196" s="0" t="s">
        <v>3518</v>
      </c>
      <c r="F196" s="0" t="s">
        <v>3176</v>
      </c>
      <c r="G196" s="0" t="s">
        <v>3519</v>
      </c>
    </row>
    <row customHeight="1" ht="11.25">
      <c r="A197" s="486" t="s">
        <v>16</v>
      </c>
      <c r="B197" s="0" t="s">
        <v>3520</v>
      </c>
      <c r="C197" s="0" t="s">
        <v>3521</v>
      </c>
      <c r="D197" s="0" t="s">
        <v>3522</v>
      </c>
      <c r="E197" s="0" t="s">
        <v>3523</v>
      </c>
      <c r="F197" s="0" t="s">
        <v>3051</v>
      </c>
      <c r="G197" s="0" t="s">
        <v>3524</v>
      </c>
    </row>
    <row customHeight="1" ht="11.25">
      <c r="A198" s="486" t="s">
        <v>16</v>
      </c>
      <c r="B198" s="0" t="s">
        <v>3520</v>
      </c>
      <c r="C198" s="0" t="s">
        <v>3521</v>
      </c>
      <c r="D198" s="0" t="s">
        <v>3525</v>
      </c>
      <c r="E198" s="0" t="s">
        <v>3526</v>
      </c>
      <c r="F198" s="0" t="s">
        <v>3051</v>
      </c>
      <c r="G198" s="0" t="s">
        <v>3527</v>
      </c>
    </row>
    <row customHeight="1" ht="11.25">
      <c r="A199" s="486" t="s">
        <v>16</v>
      </c>
      <c r="B199" s="0" t="s">
        <v>3520</v>
      </c>
      <c r="C199" s="0" t="s">
        <v>3521</v>
      </c>
      <c r="D199" s="0" t="s">
        <v>3528</v>
      </c>
      <c r="E199" s="0" t="s">
        <v>3529</v>
      </c>
      <c r="F199" s="0" t="s">
        <v>3051</v>
      </c>
      <c r="G199" s="0" t="s">
        <v>3530</v>
      </c>
    </row>
    <row customHeight="1" ht="11.25">
      <c r="A200" s="486" t="s">
        <v>16</v>
      </c>
      <c r="B200" s="0" t="s">
        <v>3520</v>
      </c>
      <c r="C200" s="0" t="s">
        <v>3521</v>
      </c>
      <c r="D200" s="0" t="s">
        <v>3531</v>
      </c>
      <c r="E200" s="0" t="s">
        <v>3532</v>
      </c>
      <c r="F200" s="0" t="s">
        <v>3051</v>
      </c>
      <c r="G200" s="0" t="s">
        <v>3533</v>
      </c>
    </row>
    <row customHeight="1" ht="11.25">
      <c r="A201" s="486" t="s">
        <v>16</v>
      </c>
      <c r="B201" s="0" t="s">
        <v>3520</v>
      </c>
      <c r="C201" s="0" t="s">
        <v>3521</v>
      </c>
      <c r="D201" s="0" t="s">
        <v>3534</v>
      </c>
      <c r="E201" s="0" t="s">
        <v>3535</v>
      </c>
      <c r="F201" s="0" t="s">
        <v>3051</v>
      </c>
      <c r="G201" s="0" t="s">
        <v>3536</v>
      </c>
    </row>
    <row customHeight="1" ht="11.25">
      <c r="A202" s="486" t="s">
        <v>16</v>
      </c>
      <c r="B202" s="0" t="s">
        <v>3520</v>
      </c>
      <c r="C202" s="0" t="s">
        <v>3521</v>
      </c>
      <c r="D202" s="0" t="s">
        <v>3138</v>
      </c>
      <c r="E202" s="0" t="s">
        <v>3537</v>
      </c>
      <c r="F202" s="0" t="s">
        <v>3051</v>
      </c>
      <c r="G202" s="0" t="s">
        <v>3538</v>
      </c>
    </row>
    <row customHeight="1" ht="11.25">
      <c r="A203" s="486" t="s">
        <v>16</v>
      </c>
      <c r="B203" s="0" t="s">
        <v>3520</v>
      </c>
      <c r="C203" s="0" t="s">
        <v>3521</v>
      </c>
      <c r="D203" s="0" t="s">
        <v>3520</v>
      </c>
      <c r="E203" s="0" t="s">
        <v>3521</v>
      </c>
      <c r="F203" s="0" t="s">
        <v>3052</v>
      </c>
      <c r="G203" s="0" t="s">
        <v>3539</v>
      </c>
    </row>
    <row customHeight="1" ht="11.25">
      <c r="A204" s="486" t="s">
        <v>16</v>
      </c>
      <c r="B204" s="0" t="s">
        <v>3520</v>
      </c>
      <c r="C204" s="0" t="s">
        <v>3521</v>
      </c>
      <c r="D204" s="0" t="s">
        <v>3540</v>
      </c>
      <c r="E204" s="0" t="s">
        <v>3541</v>
      </c>
      <c r="F204" s="0" t="s">
        <v>3051</v>
      </c>
      <c r="G204" s="0" t="s">
        <v>3542</v>
      </c>
    </row>
    <row customHeight="1" ht="11.25">
      <c r="A205" s="486" t="s">
        <v>16</v>
      </c>
      <c r="B205" s="0" t="s">
        <v>3520</v>
      </c>
      <c r="C205" s="0" t="s">
        <v>3521</v>
      </c>
      <c r="D205" s="0" t="s">
        <v>3543</v>
      </c>
      <c r="E205" s="0" t="s">
        <v>3544</v>
      </c>
      <c r="F205" s="0" t="s">
        <v>3051</v>
      </c>
      <c r="G205" s="0" t="s">
        <v>3545</v>
      </c>
    </row>
    <row customHeight="1" ht="11.25">
      <c r="A206" s="486" t="s">
        <v>16</v>
      </c>
      <c r="B206" s="0" t="s">
        <v>3520</v>
      </c>
      <c r="C206" s="0" t="s">
        <v>3521</v>
      </c>
      <c r="D206" s="0" t="s">
        <v>3546</v>
      </c>
      <c r="E206" s="0" t="s">
        <v>3547</v>
      </c>
      <c r="F206" s="0" t="s">
        <v>3051</v>
      </c>
      <c r="G206" s="0" t="s">
        <v>3548</v>
      </c>
    </row>
    <row customHeight="1" ht="11.25">
      <c r="A207" s="486" t="s">
        <v>16</v>
      </c>
      <c r="B207" s="0" t="s">
        <v>3520</v>
      </c>
      <c r="C207" s="0" t="s">
        <v>3521</v>
      </c>
      <c r="D207" s="0" t="s">
        <v>3549</v>
      </c>
      <c r="E207" s="0" t="s">
        <v>3550</v>
      </c>
      <c r="F207" s="0" t="s">
        <v>3051</v>
      </c>
      <c r="G207" s="0" t="s">
        <v>3551</v>
      </c>
    </row>
    <row customHeight="1" ht="11.25">
      <c r="A208" s="486" t="s">
        <v>16</v>
      </c>
      <c r="B208" s="0" t="s">
        <v>3520</v>
      </c>
      <c r="C208" s="0" t="s">
        <v>3521</v>
      </c>
      <c r="D208" s="0" t="s">
        <v>3552</v>
      </c>
      <c r="E208" s="0" t="s">
        <v>3553</v>
      </c>
      <c r="F208" s="0" t="s">
        <v>3121</v>
      </c>
      <c r="G208" s="0" t="s">
        <v>3554</v>
      </c>
    </row>
    <row customHeight="1" ht="11.25">
      <c r="A209" s="486" t="s">
        <v>16</v>
      </c>
      <c r="B209" s="0" t="s">
        <v>3555</v>
      </c>
      <c r="C209" s="0" t="s">
        <v>3556</v>
      </c>
      <c r="D209" s="0" t="s">
        <v>3557</v>
      </c>
      <c r="E209" s="0" t="s">
        <v>3558</v>
      </c>
      <c r="F209" s="0" t="s">
        <v>3051</v>
      </c>
      <c r="G209" s="0" t="s">
        <v>3559</v>
      </c>
    </row>
    <row customHeight="1" ht="11.25">
      <c r="A210" s="486" t="s">
        <v>16</v>
      </c>
      <c r="B210" s="0" t="s">
        <v>3555</v>
      </c>
      <c r="C210" s="0" t="s">
        <v>3556</v>
      </c>
      <c r="D210" s="0" t="s">
        <v>3560</v>
      </c>
      <c r="E210" s="0" t="s">
        <v>3561</v>
      </c>
      <c r="F210" s="0" t="s">
        <v>3051</v>
      </c>
      <c r="G210" s="0" t="s">
        <v>3562</v>
      </c>
    </row>
    <row customHeight="1" ht="11.25">
      <c r="A211" s="486" t="s">
        <v>16</v>
      </c>
      <c r="B211" s="0" t="s">
        <v>3555</v>
      </c>
      <c r="C211" s="0" t="s">
        <v>3556</v>
      </c>
      <c r="D211" s="0" t="s">
        <v>3563</v>
      </c>
      <c r="E211" s="0" t="s">
        <v>3564</v>
      </c>
      <c r="F211" s="0" t="s">
        <v>3051</v>
      </c>
      <c r="G211" s="0" t="s">
        <v>3565</v>
      </c>
    </row>
    <row customHeight="1" ht="11.25">
      <c r="A212" s="486" t="s">
        <v>16</v>
      </c>
      <c r="B212" s="0" t="s">
        <v>3555</v>
      </c>
      <c r="C212" s="0" t="s">
        <v>3556</v>
      </c>
      <c r="D212" s="0" t="s">
        <v>3566</v>
      </c>
      <c r="E212" s="0" t="s">
        <v>3567</v>
      </c>
      <c r="F212" s="0" t="s">
        <v>3051</v>
      </c>
      <c r="G212" s="0" t="s">
        <v>3568</v>
      </c>
    </row>
    <row customHeight="1" ht="11.25">
      <c r="A213" s="486" t="s">
        <v>16</v>
      </c>
      <c r="B213" s="0" t="s">
        <v>3555</v>
      </c>
      <c r="C213" s="0" t="s">
        <v>3556</v>
      </c>
      <c r="D213" s="0" t="s">
        <v>3569</v>
      </c>
      <c r="E213" s="0" t="s">
        <v>3570</v>
      </c>
      <c r="F213" s="0" t="s">
        <v>3051</v>
      </c>
      <c r="G213" s="0" t="s">
        <v>3571</v>
      </c>
    </row>
    <row customHeight="1" ht="11.25">
      <c r="A214" s="486" t="s">
        <v>16</v>
      </c>
      <c r="B214" s="0" t="s">
        <v>3555</v>
      </c>
      <c r="C214" s="0" t="s">
        <v>3556</v>
      </c>
      <c r="D214" s="0" t="s">
        <v>3572</v>
      </c>
      <c r="E214" s="0" t="s">
        <v>3573</v>
      </c>
      <c r="F214" s="0" t="s">
        <v>3051</v>
      </c>
      <c r="G214" s="0" t="s">
        <v>3574</v>
      </c>
    </row>
    <row customHeight="1" ht="11.25">
      <c r="A215" s="486" t="s">
        <v>16</v>
      </c>
      <c r="B215" s="0" t="s">
        <v>3555</v>
      </c>
      <c r="C215" s="0" t="s">
        <v>3556</v>
      </c>
      <c r="D215" s="0" t="s">
        <v>3575</v>
      </c>
      <c r="E215" s="0" t="s">
        <v>3576</v>
      </c>
      <c r="F215" s="0" t="s">
        <v>3051</v>
      </c>
      <c r="G215" s="0" t="s">
        <v>3577</v>
      </c>
    </row>
    <row customHeight="1" ht="11.25">
      <c r="A216" s="486" t="s">
        <v>16</v>
      </c>
      <c r="B216" s="0" t="s">
        <v>3555</v>
      </c>
      <c r="C216" s="0" t="s">
        <v>3556</v>
      </c>
      <c r="D216" s="0" t="s">
        <v>3555</v>
      </c>
      <c r="E216" s="0" t="s">
        <v>3556</v>
      </c>
      <c r="F216" s="0" t="s">
        <v>3052</v>
      </c>
      <c r="G216" s="0" t="s">
        <v>3578</v>
      </c>
    </row>
    <row customHeight="1" ht="11.25">
      <c r="A217" s="486" t="s">
        <v>16</v>
      </c>
      <c r="B217" s="0" t="s">
        <v>3555</v>
      </c>
      <c r="C217" s="0" t="s">
        <v>3556</v>
      </c>
      <c r="D217" s="0" t="s">
        <v>3579</v>
      </c>
      <c r="E217" s="0" t="s">
        <v>3580</v>
      </c>
      <c r="F217" s="0" t="s">
        <v>3121</v>
      </c>
      <c r="G217" s="0" t="s">
        <v>3581</v>
      </c>
    </row>
    <row customHeight="1" ht="11.25">
      <c r="A218" s="486" t="s">
        <v>16</v>
      </c>
      <c r="B218" s="0" t="s">
        <v>3582</v>
      </c>
      <c r="C218" s="0" t="s">
        <v>3583</v>
      </c>
      <c r="D218" s="0" t="s">
        <v>3584</v>
      </c>
      <c r="E218" s="0" t="s">
        <v>3585</v>
      </c>
      <c r="F218" s="0" t="s">
        <v>3051</v>
      </c>
      <c r="G218" s="0" t="s">
        <v>3586</v>
      </c>
    </row>
    <row customHeight="1" ht="11.25">
      <c r="A219" s="486" t="s">
        <v>16</v>
      </c>
      <c r="B219" s="0" t="s">
        <v>3582</v>
      </c>
      <c r="C219" s="0" t="s">
        <v>3583</v>
      </c>
      <c r="D219" s="0" t="s">
        <v>3267</v>
      </c>
      <c r="E219" s="0" t="s">
        <v>3587</v>
      </c>
      <c r="F219" s="0" t="s">
        <v>3051</v>
      </c>
      <c r="G219" s="0" t="s">
        <v>3588</v>
      </c>
    </row>
    <row customHeight="1" ht="11.25">
      <c r="A220" s="486" t="s">
        <v>16</v>
      </c>
      <c r="B220" s="0" t="s">
        <v>3582</v>
      </c>
      <c r="C220" s="0" t="s">
        <v>3583</v>
      </c>
      <c r="D220" s="0" t="s">
        <v>3589</v>
      </c>
      <c r="E220" s="0" t="s">
        <v>3590</v>
      </c>
      <c r="F220" s="0" t="s">
        <v>3051</v>
      </c>
      <c r="G220" s="0" t="s">
        <v>3591</v>
      </c>
    </row>
    <row customHeight="1" ht="11.25">
      <c r="A221" s="486" t="s">
        <v>16</v>
      </c>
      <c r="B221" s="0" t="s">
        <v>3582</v>
      </c>
      <c r="C221" s="0" t="s">
        <v>3583</v>
      </c>
      <c r="D221" s="0" t="s">
        <v>3582</v>
      </c>
      <c r="E221" s="0" t="s">
        <v>3583</v>
      </c>
      <c r="F221" s="0" t="s">
        <v>3052</v>
      </c>
      <c r="G221" s="0" t="s">
        <v>3592</v>
      </c>
    </row>
    <row customHeight="1" ht="11.25">
      <c r="A222" s="486" t="s">
        <v>16</v>
      </c>
      <c r="B222" s="0" t="s">
        <v>3582</v>
      </c>
      <c r="C222" s="0" t="s">
        <v>3583</v>
      </c>
      <c r="D222" s="0" t="s">
        <v>3593</v>
      </c>
      <c r="E222" s="0" t="s">
        <v>3594</v>
      </c>
      <c r="F222" s="0" t="s">
        <v>3051</v>
      </c>
      <c r="G222" s="0" t="s">
        <v>3595</v>
      </c>
    </row>
    <row customHeight="1" ht="11.25">
      <c r="A223" s="486" t="s">
        <v>16</v>
      </c>
      <c r="B223" s="0" t="s">
        <v>3582</v>
      </c>
      <c r="C223" s="0" t="s">
        <v>3583</v>
      </c>
      <c r="D223" s="0" t="s">
        <v>3596</v>
      </c>
      <c r="E223" s="0" t="s">
        <v>3597</v>
      </c>
      <c r="F223" s="0" t="s">
        <v>3051</v>
      </c>
      <c r="G223" s="0" t="s">
        <v>3598</v>
      </c>
    </row>
    <row customHeight="1" ht="11.25">
      <c r="A224" s="486" t="s">
        <v>16</v>
      </c>
      <c r="B224" s="0" t="s">
        <v>3582</v>
      </c>
      <c r="C224" s="0" t="s">
        <v>3583</v>
      </c>
      <c r="D224" s="0" t="s">
        <v>3599</v>
      </c>
      <c r="E224" s="0" t="s">
        <v>3600</v>
      </c>
      <c r="F224" s="0" t="s">
        <v>3051</v>
      </c>
      <c r="G224" s="0" t="s">
        <v>3601</v>
      </c>
    </row>
    <row customHeight="1" ht="11.25">
      <c r="A225" s="486" t="s">
        <v>16</v>
      </c>
      <c r="B225" s="0" t="s">
        <v>3582</v>
      </c>
      <c r="C225" s="0" t="s">
        <v>3583</v>
      </c>
      <c r="D225" s="0" t="s">
        <v>3602</v>
      </c>
      <c r="E225" s="0" t="s">
        <v>3603</v>
      </c>
      <c r="F225" s="0" t="s">
        <v>3051</v>
      </c>
      <c r="G225" s="0" t="s">
        <v>3604</v>
      </c>
    </row>
    <row customHeight="1" ht="11.25">
      <c r="A226" s="486" t="s">
        <v>16</v>
      </c>
      <c r="B226" s="0" t="s">
        <v>3582</v>
      </c>
      <c r="C226" s="0" t="s">
        <v>3583</v>
      </c>
      <c r="D226" s="0" t="s">
        <v>3605</v>
      </c>
      <c r="E226" s="0" t="s">
        <v>3606</v>
      </c>
      <c r="F226" s="0" t="s">
        <v>3051</v>
      </c>
      <c r="G226" s="0" t="s">
        <v>3607</v>
      </c>
    </row>
    <row customHeight="1" ht="11.25">
      <c r="A227" s="486" t="s">
        <v>16</v>
      </c>
      <c r="B227" s="0" t="s">
        <v>3582</v>
      </c>
      <c r="C227" s="0" t="s">
        <v>3583</v>
      </c>
      <c r="D227" s="0" t="s">
        <v>3608</v>
      </c>
      <c r="E227" s="0" t="s">
        <v>3609</v>
      </c>
      <c r="F227" s="0" t="s">
        <v>3121</v>
      </c>
      <c r="G227" s="0" t="s">
        <v>3610</v>
      </c>
    </row>
    <row customHeight="1" ht="11.25">
      <c r="A228" s="486" t="s">
        <v>16</v>
      </c>
      <c r="B228" s="0" t="s">
        <v>3582</v>
      </c>
      <c r="C228" s="0" t="s">
        <v>3583</v>
      </c>
      <c r="D228" s="0" t="s">
        <v>3611</v>
      </c>
      <c r="E228" s="0" t="s">
        <v>3612</v>
      </c>
      <c r="F228" s="0" t="s">
        <v>3121</v>
      </c>
      <c r="G228" s="0" t="s">
        <v>3613</v>
      </c>
    </row>
    <row customHeight="1" ht="11.25">
      <c r="A229" s="486" t="s">
        <v>16</v>
      </c>
      <c r="B229" s="0" t="s">
        <v>3614</v>
      </c>
      <c r="C229" s="0" t="s">
        <v>3615</v>
      </c>
      <c r="D229" s="0" t="s">
        <v>3616</v>
      </c>
      <c r="E229" s="0" t="s">
        <v>3617</v>
      </c>
      <c r="F229" s="0" t="s">
        <v>3051</v>
      </c>
      <c r="G229" s="0" t="s">
        <v>3618</v>
      </c>
    </row>
    <row customHeight="1" ht="11.25">
      <c r="A230" s="486" t="s">
        <v>16</v>
      </c>
      <c r="B230" s="0" t="s">
        <v>3614</v>
      </c>
      <c r="C230" s="0" t="s">
        <v>3615</v>
      </c>
      <c r="D230" s="0" t="s">
        <v>3619</v>
      </c>
      <c r="E230" s="0" t="s">
        <v>3620</v>
      </c>
      <c r="F230" s="0" t="s">
        <v>3051</v>
      </c>
      <c r="G230" s="0" t="s">
        <v>3621</v>
      </c>
    </row>
    <row customHeight="1" ht="11.25">
      <c r="A231" s="486" t="s">
        <v>16</v>
      </c>
      <c r="B231" s="0" t="s">
        <v>3614</v>
      </c>
      <c r="C231" s="0" t="s">
        <v>3615</v>
      </c>
      <c r="D231" s="0" t="s">
        <v>3622</v>
      </c>
      <c r="E231" s="0" t="s">
        <v>3623</v>
      </c>
      <c r="F231" s="0" t="s">
        <v>3051</v>
      </c>
      <c r="G231" s="0" t="s">
        <v>3624</v>
      </c>
    </row>
    <row customHeight="1" ht="11.25">
      <c r="A232" s="486" t="s">
        <v>16</v>
      </c>
      <c r="B232" s="0" t="s">
        <v>3614</v>
      </c>
      <c r="C232" s="0" t="s">
        <v>3615</v>
      </c>
      <c r="D232" s="0" t="s">
        <v>3625</v>
      </c>
      <c r="E232" s="0" t="s">
        <v>3626</v>
      </c>
      <c r="F232" s="0" t="s">
        <v>3051</v>
      </c>
      <c r="G232" s="0" t="s">
        <v>3627</v>
      </c>
    </row>
    <row customHeight="1" ht="11.25">
      <c r="A233" s="486" t="s">
        <v>16</v>
      </c>
      <c r="B233" s="0" t="s">
        <v>3614</v>
      </c>
      <c r="C233" s="0" t="s">
        <v>3615</v>
      </c>
      <c r="D233" s="0" t="s">
        <v>3628</v>
      </c>
      <c r="E233" s="0" t="s">
        <v>3629</v>
      </c>
      <c r="F233" s="0" t="s">
        <v>3051</v>
      </c>
      <c r="G233" s="0" t="s">
        <v>3630</v>
      </c>
    </row>
    <row customHeight="1" ht="11.25">
      <c r="A234" s="486" t="s">
        <v>16</v>
      </c>
      <c r="B234" s="0" t="s">
        <v>3614</v>
      </c>
      <c r="C234" s="0" t="s">
        <v>3615</v>
      </c>
      <c r="D234" s="0" t="s">
        <v>3631</v>
      </c>
      <c r="E234" s="0" t="s">
        <v>3632</v>
      </c>
      <c r="F234" s="0" t="s">
        <v>3051</v>
      </c>
      <c r="G234" s="0" t="s">
        <v>3633</v>
      </c>
    </row>
    <row customHeight="1" ht="11.25">
      <c r="A235" s="486" t="s">
        <v>16</v>
      </c>
      <c r="B235" s="0" t="s">
        <v>3614</v>
      </c>
      <c r="C235" s="0" t="s">
        <v>3615</v>
      </c>
      <c r="D235" s="0" t="s">
        <v>3197</v>
      </c>
      <c r="E235" s="0" t="s">
        <v>3634</v>
      </c>
      <c r="F235" s="0" t="s">
        <v>3051</v>
      </c>
      <c r="G235" s="0" t="s">
        <v>3635</v>
      </c>
    </row>
    <row customHeight="1" ht="11.25">
      <c r="A236" s="486" t="s">
        <v>16</v>
      </c>
      <c r="B236" s="0" t="s">
        <v>3614</v>
      </c>
      <c r="C236" s="0" t="s">
        <v>3615</v>
      </c>
      <c r="D236" s="0" t="s">
        <v>3636</v>
      </c>
      <c r="E236" s="0" t="s">
        <v>3637</v>
      </c>
      <c r="F236" s="0" t="s">
        <v>3051</v>
      </c>
      <c r="G236" s="0" t="s">
        <v>3638</v>
      </c>
    </row>
    <row customHeight="1" ht="11.25">
      <c r="A237" s="486" t="s">
        <v>16</v>
      </c>
      <c r="B237" s="0" t="s">
        <v>3614</v>
      </c>
      <c r="C237" s="0" t="s">
        <v>3615</v>
      </c>
      <c r="D237" s="0" t="s">
        <v>3639</v>
      </c>
      <c r="E237" s="0" t="s">
        <v>3640</v>
      </c>
      <c r="F237" s="0" t="s">
        <v>3051</v>
      </c>
      <c r="G237" s="0" t="s">
        <v>3641</v>
      </c>
    </row>
    <row customHeight="1" ht="11.25">
      <c r="A238" s="486" t="s">
        <v>16</v>
      </c>
      <c r="B238" s="0" t="s">
        <v>3614</v>
      </c>
      <c r="C238" s="0" t="s">
        <v>3615</v>
      </c>
      <c r="D238" s="0" t="s">
        <v>3642</v>
      </c>
      <c r="E238" s="0" t="s">
        <v>3643</v>
      </c>
      <c r="F238" s="0" t="s">
        <v>3051</v>
      </c>
      <c r="G238" s="0" t="s">
        <v>3644</v>
      </c>
    </row>
    <row customHeight="1" ht="11.25">
      <c r="A239" s="486" t="s">
        <v>16</v>
      </c>
      <c r="B239" s="0" t="s">
        <v>3614</v>
      </c>
      <c r="C239" s="0" t="s">
        <v>3615</v>
      </c>
      <c r="D239" s="0" t="s">
        <v>3645</v>
      </c>
      <c r="E239" s="0" t="s">
        <v>3646</v>
      </c>
      <c r="F239" s="0" t="s">
        <v>3051</v>
      </c>
      <c r="G239" s="0" t="s">
        <v>3647</v>
      </c>
    </row>
    <row customHeight="1" ht="11.25">
      <c r="A240" s="486" t="s">
        <v>16</v>
      </c>
      <c r="B240" s="0" t="s">
        <v>3614</v>
      </c>
      <c r="C240" s="0" t="s">
        <v>3615</v>
      </c>
      <c r="D240" s="0" t="s">
        <v>3648</v>
      </c>
      <c r="E240" s="0" t="s">
        <v>3649</v>
      </c>
      <c r="F240" s="0" t="s">
        <v>3051</v>
      </c>
      <c r="G240" s="0" t="s">
        <v>3650</v>
      </c>
    </row>
    <row customHeight="1" ht="11.25">
      <c r="A241" s="486" t="s">
        <v>16</v>
      </c>
      <c r="B241" s="0" t="s">
        <v>3614</v>
      </c>
      <c r="C241" s="0" t="s">
        <v>3615</v>
      </c>
      <c r="D241" s="0" t="s">
        <v>3614</v>
      </c>
      <c r="E241" s="0" t="s">
        <v>3615</v>
      </c>
      <c r="F241" s="0" t="s">
        <v>3052</v>
      </c>
      <c r="G241" s="0" t="s">
        <v>3651</v>
      </c>
    </row>
    <row customHeight="1" ht="11.25">
      <c r="A242" s="486" t="s">
        <v>16</v>
      </c>
      <c r="B242" s="0" t="s">
        <v>3614</v>
      </c>
      <c r="C242" s="0" t="s">
        <v>3615</v>
      </c>
      <c r="D242" s="0" t="s">
        <v>3208</v>
      </c>
      <c r="E242" s="0" t="s">
        <v>3652</v>
      </c>
      <c r="F242" s="0" t="s">
        <v>3051</v>
      </c>
      <c r="G242" s="0" t="s">
        <v>3653</v>
      </c>
    </row>
    <row customHeight="1" ht="11.25">
      <c r="A243" s="486" t="s">
        <v>16</v>
      </c>
      <c r="B243" s="0" t="s">
        <v>3614</v>
      </c>
      <c r="C243" s="0" t="s">
        <v>3615</v>
      </c>
      <c r="D243" s="0" t="s">
        <v>3654</v>
      </c>
      <c r="E243" s="0" t="s">
        <v>3655</v>
      </c>
      <c r="F243" s="0" t="s">
        <v>3051</v>
      </c>
      <c r="G243" s="0" t="s">
        <v>3656</v>
      </c>
    </row>
    <row customHeight="1" ht="11.25">
      <c r="A244" s="486" t="s">
        <v>16</v>
      </c>
      <c r="B244" s="0" t="s">
        <v>3614</v>
      </c>
      <c r="C244" s="0" t="s">
        <v>3615</v>
      </c>
      <c r="D244" s="0" t="s">
        <v>3657</v>
      </c>
      <c r="E244" s="0" t="s">
        <v>3658</v>
      </c>
      <c r="F244" s="0" t="s">
        <v>3176</v>
      </c>
      <c r="G244" s="0" t="s">
        <v>3659</v>
      </c>
    </row>
    <row customHeight="1" ht="11.25">
      <c r="A245" s="486" t="s">
        <v>16</v>
      </c>
      <c r="B245" s="0" t="s">
        <v>3660</v>
      </c>
      <c r="C245" s="0" t="s">
        <v>3661</v>
      </c>
      <c r="D245" s="0" t="s">
        <v>3662</v>
      </c>
      <c r="E245" s="0" t="s">
        <v>3663</v>
      </c>
      <c r="F245" s="0" t="s">
        <v>3051</v>
      </c>
      <c r="G245" s="0" t="s">
        <v>3664</v>
      </c>
    </row>
    <row customHeight="1" ht="11.25">
      <c r="A246" s="486" t="s">
        <v>16</v>
      </c>
      <c r="B246" s="0" t="s">
        <v>3660</v>
      </c>
      <c r="C246" s="0" t="s">
        <v>3661</v>
      </c>
      <c r="D246" s="0" t="s">
        <v>3665</v>
      </c>
      <c r="E246" s="0" t="s">
        <v>3666</v>
      </c>
      <c r="F246" s="0" t="s">
        <v>3051</v>
      </c>
      <c r="G246" s="0" t="s">
        <v>3667</v>
      </c>
    </row>
    <row customHeight="1" ht="11.25">
      <c r="A247" s="486" t="s">
        <v>16</v>
      </c>
      <c r="B247" s="0" t="s">
        <v>3660</v>
      </c>
      <c r="C247" s="0" t="s">
        <v>3661</v>
      </c>
      <c r="D247" s="0" t="s">
        <v>3668</v>
      </c>
      <c r="E247" s="0" t="s">
        <v>3669</v>
      </c>
      <c r="F247" s="0" t="s">
        <v>3051</v>
      </c>
      <c r="G247" s="0" t="s">
        <v>3670</v>
      </c>
    </row>
    <row customHeight="1" ht="11.25">
      <c r="A248" s="486" t="s">
        <v>16</v>
      </c>
      <c r="B248" s="0" t="s">
        <v>3660</v>
      </c>
      <c r="C248" s="0" t="s">
        <v>3661</v>
      </c>
      <c r="D248" s="0" t="s">
        <v>3270</v>
      </c>
      <c r="E248" s="0" t="s">
        <v>3671</v>
      </c>
      <c r="F248" s="0" t="s">
        <v>3051</v>
      </c>
      <c r="G248" s="0" t="s">
        <v>3672</v>
      </c>
    </row>
    <row customHeight="1" ht="11.25">
      <c r="A249" s="486" t="s">
        <v>16</v>
      </c>
      <c r="B249" s="0" t="s">
        <v>3660</v>
      </c>
      <c r="C249" s="0" t="s">
        <v>3661</v>
      </c>
      <c r="D249" s="0" t="s">
        <v>3673</v>
      </c>
      <c r="E249" s="0" t="s">
        <v>3674</v>
      </c>
      <c r="F249" s="0" t="s">
        <v>3051</v>
      </c>
      <c r="G249" s="0" t="s">
        <v>3675</v>
      </c>
    </row>
    <row customHeight="1" ht="11.25">
      <c r="A250" s="486" t="s">
        <v>16</v>
      </c>
      <c r="B250" s="0" t="s">
        <v>3660</v>
      </c>
      <c r="C250" s="0" t="s">
        <v>3661</v>
      </c>
      <c r="D250" s="0" t="s">
        <v>3279</v>
      </c>
      <c r="E250" s="0" t="s">
        <v>3676</v>
      </c>
      <c r="F250" s="0" t="s">
        <v>3051</v>
      </c>
      <c r="G250" s="0" t="s">
        <v>3677</v>
      </c>
    </row>
    <row customHeight="1" ht="11.25">
      <c r="A251" s="486" t="s">
        <v>16</v>
      </c>
      <c r="B251" s="0" t="s">
        <v>3660</v>
      </c>
      <c r="C251" s="0" t="s">
        <v>3661</v>
      </c>
      <c r="D251" s="0" t="s">
        <v>3678</v>
      </c>
      <c r="E251" s="0" t="s">
        <v>3679</v>
      </c>
      <c r="F251" s="0" t="s">
        <v>3051</v>
      </c>
      <c r="G251" s="0" t="s">
        <v>3680</v>
      </c>
    </row>
    <row customHeight="1" ht="11.25">
      <c r="A252" s="486" t="s">
        <v>16</v>
      </c>
      <c r="B252" s="0" t="s">
        <v>3660</v>
      </c>
      <c r="C252" s="0" t="s">
        <v>3661</v>
      </c>
      <c r="D252" s="0" t="s">
        <v>3681</v>
      </c>
      <c r="E252" s="0" t="s">
        <v>3682</v>
      </c>
      <c r="F252" s="0" t="s">
        <v>3051</v>
      </c>
      <c r="G252" s="0" t="s">
        <v>3683</v>
      </c>
    </row>
    <row customHeight="1" ht="11.25">
      <c r="A253" s="486" t="s">
        <v>16</v>
      </c>
      <c r="B253" s="0" t="s">
        <v>3660</v>
      </c>
      <c r="C253" s="0" t="s">
        <v>3661</v>
      </c>
      <c r="D253" s="0" t="s">
        <v>3684</v>
      </c>
      <c r="E253" s="0" t="s">
        <v>3685</v>
      </c>
      <c r="F253" s="0" t="s">
        <v>3051</v>
      </c>
      <c r="G253" s="0" t="s">
        <v>3686</v>
      </c>
    </row>
    <row customHeight="1" ht="11.25">
      <c r="A254" s="486" t="s">
        <v>16</v>
      </c>
      <c r="B254" s="0" t="s">
        <v>3660</v>
      </c>
      <c r="C254" s="0" t="s">
        <v>3661</v>
      </c>
      <c r="D254" s="0" t="s">
        <v>3660</v>
      </c>
      <c r="E254" s="0" t="s">
        <v>3661</v>
      </c>
      <c r="F254" s="0" t="s">
        <v>3052</v>
      </c>
      <c r="G254" s="0" t="s">
        <v>3687</v>
      </c>
    </row>
    <row customHeight="1" ht="11.25">
      <c r="A255" s="486" t="s">
        <v>16</v>
      </c>
      <c r="B255" s="0" t="s">
        <v>3660</v>
      </c>
      <c r="C255" s="0" t="s">
        <v>3661</v>
      </c>
      <c r="D255" s="0" t="s">
        <v>3688</v>
      </c>
      <c r="E255" s="0" t="s">
        <v>3689</v>
      </c>
      <c r="F255" s="0" t="s">
        <v>3051</v>
      </c>
      <c r="G255" s="0" t="s">
        <v>3690</v>
      </c>
    </row>
    <row customHeight="1" ht="11.25">
      <c r="A256" s="486" t="s">
        <v>16</v>
      </c>
      <c r="B256" s="0" t="s">
        <v>3660</v>
      </c>
      <c r="C256" s="0" t="s">
        <v>3661</v>
      </c>
      <c r="D256" s="0" t="s">
        <v>3691</v>
      </c>
      <c r="E256" s="0" t="s">
        <v>3692</v>
      </c>
      <c r="F256" s="0" t="s">
        <v>3121</v>
      </c>
      <c r="G256" s="0" t="s">
        <v>3693</v>
      </c>
    </row>
    <row customHeight="1" ht="11.25">
      <c r="A257" s="486" t="s">
        <v>16</v>
      </c>
      <c r="B257" s="0" t="s">
        <v>3694</v>
      </c>
      <c r="C257" s="0" t="s">
        <v>3695</v>
      </c>
      <c r="D257" s="0" t="s">
        <v>3696</v>
      </c>
      <c r="E257" s="0" t="s">
        <v>3697</v>
      </c>
      <c r="F257" s="0" t="s">
        <v>3051</v>
      </c>
      <c r="G257" s="0" t="s">
        <v>3698</v>
      </c>
    </row>
    <row customHeight="1" ht="11.25">
      <c r="A258" s="486" t="s">
        <v>16</v>
      </c>
      <c r="B258" s="0" t="s">
        <v>3694</v>
      </c>
      <c r="C258" s="0" t="s">
        <v>3695</v>
      </c>
      <c r="D258" s="0" t="s">
        <v>3699</v>
      </c>
      <c r="E258" s="0" t="s">
        <v>3700</v>
      </c>
      <c r="F258" s="0" t="s">
        <v>3051</v>
      </c>
      <c r="G258" s="0" t="s">
        <v>3701</v>
      </c>
    </row>
    <row customHeight="1" ht="11.25">
      <c r="A259" s="486" t="s">
        <v>16</v>
      </c>
      <c r="B259" s="0" t="s">
        <v>3694</v>
      </c>
      <c r="C259" s="0" t="s">
        <v>3695</v>
      </c>
      <c r="D259" s="0" t="s">
        <v>3622</v>
      </c>
      <c r="E259" s="0" t="s">
        <v>3702</v>
      </c>
      <c r="F259" s="0" t="s">
        <v>3051</v>
      </c>
      <c r="G259" s="0" t="s">
        <v>3703</v>
      </c>
    </row>
    <row customHeight="1" ht="11.25">
      <c r="A260" s="486" t="s">
        <v>16</v>
      </c>
      <c r="B260" s="0" t="s">
        <v>3694</v>
      </c>
      <c r="C260" s="0" t="s">
        <v>3695</v>
      </c>
      <c r="D260" s="0" t="s">
        <v>3694</v>
      </c>
      <c r="E260" s="0" t="s">
        <v>3695</v>
      </c>
      <c r="F260" s="0" t="s">
        <v>3052</v>
      </c>
      <c r="G260" s="0" t="s">
        <v>3704</v>
      </c>
    </row>
    <row customHeight="1" ht="11.25">
      <c r="A261" s="486" t="s">
        <v>16</v>
      </c>
      <c r="B261" s="0" t="s">
        <v>3694</v>
      </c>
      <c r="C261" s="0" t="s">
        <v>3695</v>
      </c>
      <c r="D261" s="0" t="s">
        <v>3705</v>
      </c>
      <c r="E261" s="0" t="s">
        <v>3706</v>
      </c>
      <c r="F261" s="0" t="s">
        <v>3051</v>
      </c>
      <c r="G261" s="0" t="s">
        <v>3707</v>
      </c>
    </row>
    <row customHeight="1" ht="11.25">
      <c r="A262" s="486" t="s">
        <v>16</v>
      </c>
      <c r="B262" s="0" t="s">
        <v>3694</v>
      </c>
      <c r="C262" s="0" t="s">
        <v>3695</v>
      </c>
      <c r="D262" s="0" t="s">
        <v>3708</v>
      </c>
      <c r="E262" s="0" t="s">
        <v>3709</v>
      </c>
      <c r="F262" s="0" t="s">
        <v>3051</v>
      </c>
      <c r="G262" s="0" t="s">
        <v>3710</v>
      </c>
    </row>
    <row customHeight="1" ht="11.25">
      <c r="A263" s="486" t="s">
        <v>16</v>
      </c>
      <c r="B263" s="0" t="s">
        <v>3694</v>
      </c>
      <c r="C263" s="0" t="s">
        <v>3695</v>
      </c>
      <c r="D263" s="0" t="s">
        <v>174</v>
      </c>
      <c r="E263" s="0" t="s">
        <v>3711</v>
      </c>
      <c r="F263" s="0" t="s">
        <v>3051</v>
      </c>
      <c r="G263" s="0" t="s">
        <v>3712</v>
      </c>
    </row>
    <row customHeight="1" ht="11.25">
      <c r="A264" s="486" t="s">
        <v>16</v>
      </c>
      <c r="B264" s="0" t="s">
        <v>3694</v>
      </c>
      <c r="C264" s="0" t="s">
        <v>3695</v>
      </c>
      <c r="D264" s="0" t="s">
        <v>3713</v>
      </c>
      <c r="E264" s="0" t="s">
        <v>3714</v>
      </c>
      <c r="F264" s="0" t="s">
        <v>3121</v>
      </c>
      <c r="G264" s="0" t="s">
        <v>3715</v>
      </c>
    </row>
    <row customHeight="1" ht="11.25">
      <c r="A265" s="486" t="s">
        <v>16</v>
      </c>
      <c r="B265" s="0" t="s">
        <v>3716</v>
      </c>
      <c r="C265" s="0" t="s">
        <v>3717</v>
      </c>
      <c r="D265" s="0" t="s">
        <v>3718</v>
      </c>
      <c r="E265" s="0" t="s">
        <v>3719</v>
      </c>
      <c r="F265" s="0" t="s">
        <v>3051</v>
      </c>
      <c r="G265" s="0" t="s">
        <v>3720</v>
      </c>
    </row>
    <row customHeight="1" ht="11.25">
      <c r="A266" s="486" t="s">
        <v>16</v>
      </c>
      <c r="B266" s="0" t="s">
        <v>3716</v>
      </c>
      <c r="C266" s="0" t="s">
        <v>3717</v>
      </c>
      <c r="D266" s="0" t="s">
        <v>3721</v>
      </c>
      <c r="E266" s="0" t="s">
        <v>3722</v>
      </c>
      <c r="F266" s="0" t="s">
        <v>3051</v>
      </c>
      <c r="G266" s="0" t="s">
        <v>3723</v>
      </c>
    </row>
    <row customHeight="1" ht="11.25">
      <c r="A267" s="486" t="s">
        <v>16</v>
      </c>
      <c r="B267" s="0" t="s">
        <v>3716</v>
      </c>
      <c r="C267" s="0" t="s">
        <v>3717</v>
      </c>
      <c r="D267" s="0" t="s">
        <v>3724</v>
      </c>
      <c r="E267" s="0" t="s">
        <v>3725</v>
      </c>
      <c r="F267" s="0" t="s">
        <v>3051</v>
      </c>
      <c r="G267" s="0" t="s">
        <v>3726</v>
      </c>
    </row>
    <row customHeight="1" ht="11.25">
      <c r="A268" s="486" t="s">
        <v>16</v>
      </c>
      <c r="B268" s="0" t="s">
        <v>3716</v>
      </c>
      <c r="C268" s="0" t="s">
        <v>3717</v>
      </c>
      <c r="D268" s="0" t="s">
        <v>3727</v>
      </c>
      <c r="E268" s="0" t="s">
        <v>3728</v>
      </c>
      <c r="F268" s="0" t="s">
        <v>3051</v>
      </c>
      <c r="G268" s="0" t="s">
        <v>3729</v>
      </c>
    </row>
    <row customHeight="1" ht="11.25">
      <c r="A269" s="486" t="s">
        <v>16</v>
      </c>
      <c r="B269" s="0" t="s">
        <v>3716</v>
      </c>
      <c r="C269" s="0" t="s">
        <v>3717</v>
      </c>
      <c r="D269" s="0" t="s">
        <v>3730</v>
      </c>
      <c r="E269" s="0" t="s">
        <v>3731</v>
      </c>
      <c r="F269" s="0" t="s">
        <v>3051</v>
      </c>
      <c r="G269" s="0" t="s">
        <v>3732</v>
      </c>
    </row>
    <row customHeight="1" ht="11.25">
      <c r="A270" s="486" t="s">
        <v>16</v>
      </c>
      <c r="B270" s="0" t="s">
        <v>3716</v>
      </c>
      <c r="C270" s="0" t="s">
        <v>3717</v>
      </c>
      <c r="D270" s="0" t="s">
        <v>3733</v>
      </c>
      <c r="E270" s="0" t="s">
        <v>3734</v>
      </c>
      <c r="F270" s="0" t="s">
        <v>3051</v>
      </c>
      <c r="G270" s="0" t="s">
        <v>3735</v>
      </c>
    </row>
    <row customHeight="1" ht="11.25">
      <c r="A271" s="486" t="s">
        <v>16</v>
      </c>
      <c r="B271" s="0" t="s">
        <v>3716</v>
      </c>
      <c r="C271" s="0" t="s">
        <v>3717</v>
      </c>
      <c r="D271" s="0" t="s">
        <v>3736</v>
      </c>
      <c r="E271" s="0" t="s">
        <v>3737</v>
      </c>
      <c r="F271" s="0" t="s">
        <v>3051</v>
      </c>
      <c r="G271" s="0" t="s">
        <v>3738</v>
      </c>
    </row>
    <row customHeight="1" ht="11.25">
      <c r="A272" s="486" t="s">
        <v>16</v>
      </c>
      <c r="B272" s="0" t="s">
        <v>3716</v>
      </c>
      <c r="C272" s="0" t="s">
        <v>3717</v>
      </c>
      <c r="D272" s="0" t="s">
        <v>3739</v>
      </c>
      <c r="E272" s="0" t="s">
        <v>3740</v>
      </c>
      <c r="F272" s="0" t="s">
        <v>3051</v>
      </c>
      <c r="G272" s="0" t="s">
        <v>3741</v>
      </c>
    </row>
    <row customHeight="1" ht="11.25">
      <c r="A273" s="486" t="s">
        <v>16</v>
      </c>
      <c r="B273" s="0" t="s">
        <v>3716</v>
      </c>
      <c r="C273" s="0" t="s">
        <v>3717</v>
      </c>
      <c r="D273" s="0" t="s">
        <v>3742</v>
      </c>
      <c r="E273" s="0" t="s">
        <v>3743</v>
      </c>
      <c r="F273" s="0" t="s">
        <v>3051</v>
      </c>
      <c r="G273" s="0" t="s">
        <v>3744</v>
      </c>
    </row>
    <row customHeight="1" ht="11.25">
      <c r="A274" s="486" t="s">
        <v>16</v>
      </c>
      <c r="B274" s="0" t="s">
        <v>3716</v>
      </c>
      <c r="C274" s="0" t="s">
        <v>3717</v>
      </c>
      <c r="D274" s="0" t="s">
        <v>3745</v>
      </c>
      <c r="E274" s="0" t="s">
        <v>3746</v>
      </c>
      <c r="F274" s="0" t="s">
        <v>3051</v>
      </c>
      <c r="G274" s="0" t="s">
        <v>3747</v>
      </c>
    </row>
    <row customHeight="1" ht="11.25">
      <c r="A275" s="486" t="s">
        <v>16</v>
      </c>
      <c r="B275" s="0" t="s">
        <v>3716</v>
      </c>
      <c r="C275" s="0" t="s">
        <v>3717</v>
      </c>
      <c r="D275" s="0" t="s">
        <v>3748</v>
      </c>
      <c r="E275" s="0" t="s">
        <v>3749</v>
      </c>
      <c r="F275" s="0" t="s">
        <v>3051</v>
      </c>
      <c r="G275" s="0" t="s">
        <v>3750</v>
      </c>
    </row>
    <row customHeight="1" ht="11.25">
      <c r="A276" s="486" t="s">
        <v>16</v>
      </c>
      <c r="B276" s="0" t="s">
        <v>3716</v>
      </c>
      <c r="C276" s="0" t="s">
        <v>3717</v>
      </c>
      <c r="D276" s="0" t="s">
        <v>3751</v>
      </c>
      <c r="E276" s="0" t="s">
        <v>3752</v>
      </c>
      <c r="F276" s="0" t="s">
        <v>3051</v>
      </c>
      <c r="G276" s="0" t="s">
        <v>3753</v>
      </c>
    </row>
    <row customHeight="1" ht="11.25">
      <c r="A277" s="486" t="s">
        <v>16</v>
      </c>
      <c r="B277" s="0" t="s">
        <v>3716</v>
      </c>
      <c r="C277" s="0" t="s">
        <v>3717</v>
      </c>
      <c r="D277" s="0" t="s">
        <v>3754</v>
      </c>
      <c r="E277" s="0" t="s">
        <v>3755</v>
      </c>
      <c r="F277" s="0" t="s">
        <v>3051</v>
      </c>
      <c r="G277" s="0" t="s">
        <v>3756</v>
      </c>
    </row>
    <row customHeight="1" ht="11.25">
      <c r="A278" s="486" t="s">
        <v>16</v>
      </c>
      <c r="B278" s="0" t="s">
        <v>3716</v>
      </c>
      <c r="C278" s="0" t="s">
        <v>3717</v>
      </c>
      <c r="D278" s="0" t="s">
        <v>3757</v>
      </c>
      <c r="E278" s="0" t="s">
        <v>3758</v>
      </c>
      <c r="F278" s="0" t="s">
        <v>3051</v>
      </c>
      <c r="G278" s="0" t="s">
        <v>3759</v>
      </c>
    </row>
    <row customHeight="1" ht="11.25">
      <c r="A279" s="486" t="s">
        <v>16</v>
      </c>
      <c r="B279" s="0" t="s">
        <v>3716</v>
      </c>
      <c r="C279" s="0" t="s">
        <v>3717</v>
      </c>
      <c r="D279" s="0" t="s">
        <v>3760</v>
      </c>
      <c r="E279" s="0" t="s">
        <v>3761</v>
      </c>
      <c r="F279" s="0" t="s">
        <v>3051</v>
      </c>
      <c r="G279" s="0" t="s">
        <v>3762</v>
      </c>
    </row>
    <row customHeight="1" ht="11.25">
      <c r="A280" s="486" t="s">
        <v>16</v>
      </c>
      <c r="B280" s="0" t="s">
        <v>3716</v>
      </c>
      <c r="C280" s="0" t="s">
        <v>3717</v>
      </c>
      <c r="D280" s="0" t="s">
        <v>3716</v>
      </c>
      <c r="E280" s="0" t="s">
        <v>3717</v>
      </c>
      <c r="F280" s="0" t="s">
        <v>3052</v>
      </c>
      <c r="G280" s="0" t="s">
        <v>3763</v>
      </c>
    </row>
    <row customHeight="1" ht="11.25">
      <c r="A281" s="486" t="s">
        <v>16</v>
      </c>
      <c r="B281" s="0" t="s">
        <v>3716</v>
      </c>
      <c r="C281" s="0" t="s">
        <v>3717</v>
      </c>
      <c r="D281" s="0" t="s">
        <v>3764</v>
      </c>
      <c r="E281" s="0" t="s">
        <v>3765</v>
      </c>
      <c r="F281" s="0" t="s">
        <v>3051</v>
      </c>
      <c r="G281" s="0" t="s">
        <v>3766</v>
      </c>
    </row>
    <row customHeight="1" ht="11.25">
      <c r="A282" s="486" t="s">
        <v>16</v>
      </c>
      <c r="B282" s="0" t="s">
        <v>3716</v>
      </c>
      <c r="C282" s="0" t="s">
        <v>3717</v>
      </c>
      <c r="D282" s="0" t="s">
        <v>3767</v>
      </c>
      <c r="E282" s="0" t="s">
        <v>3768</v>
      </c>
      <c r="F282" s="0" t="s">
        <v>3176</v>
      </c>
      <c r="G282" s="0" t="s">
        <v>3769</v>
      </c>
    </row>
    <row customHeight="1" ht="11.25">
      <c r="A283" s="486" t="s">
        <v>16</v>
      </c>
      <c r="B283" s="0" t="s">
        <v>3770</v>
      </c>
      <c r="C283" s="0" t="s">
        <v>3771</v>
      </c>
      <c r="D283" s="0" t="s">
        <v>3772</v>
      </c>
      <c r="E283" s="0" t="s">
        <v>3773</v>
      </c>
      <c r="F283" s="0" t="s">
        <v>3051</v>
      </c>
      <c r="G283" s="0" t="s">
        <v>3774</v>
      </c>
    </row>
    <row customHeight="1" ht="11.25">
      <c r="A284" s="486" t="s">
        <v>16</v>
      </c>
      <c r="B284" s="0" t="s">
        <v>3770</v>
      </c>
      <c r="C284" s="0" t="s">
        <v>3771</v>
      </c>
      <c r="D284" s="0" t="s">
        <v>3775</v>
      </c>
      <c r="E284" s="0" t="s">
        <v>3776</v>
      </c>
      <c r="F284" s="0" t="s">
        <v>3051</v>
      </c>
      <c r="G284" s="0" t="s">
        <v>3777</v>
      </c>
    </row>
    <row customHeight="1" ht="11.25">
      <c r="A285" s="486" t="s">
        <v>16</v>
      </c>
      <c r="B285" s="0" t="s">
        <v>3770</v>
      </c>
      <c r="C285" s="0" t="s">
        <v>3771</v>
      </c>
      <c r="D285" s="0" t="s">
        <v>3778</v>
      </c>
      <c r="E285" s="0" t="s">
        <v>3779</v>
      </c>
      <c r="F285" s="0" t="s">
        <v>3051</v>
      </c>
      <c r="G285" s="0" t="s">
        <v>3780</v>
      </c>
    </row>
    <row customHeight="1" ht="11.25">
      <c r="A286" s="486" t="s">
        <v>16</v>
      </c>
      <c r="B286" s="0" t="s">
        <v>3770</v>
      </c>
      <c r="C286" s="0" t="s">
        <v>3771</v>
      </c>
      <c r="D286" s="0" t="s">
        <v>3279</v>
      </c>
      <c r="E286" s="0" t="s">
        <v>3781</v>
      </c>
      <c r="F286" s="0" t="s">
        <v>3051</v>
      </c>
      <c r="G286" s="0" t="s">
        <v>3782</v>
      </c>
    </row>
    <row customHeight="1" ht="11.25">
      <c r="A287" s="486" t="s">
        <v>16</v>
      </c>
      <c r="B287" s="0" t="s">
        <v>3770</v>
      </c>
      <c r="C287" s="0" t="s">
        <v>3771</v>
      </c>
      <c r="D287" s="0" t="s">
        <v>3783</v>
      </c>
      <c r="E287" s="0" t="s">
        <v>3784</v>
      </c>
      <c r="F287" s="0" t="s">
        <v>3051</v>
      </c>
      <c r="G287" s="0" t="s">
        <v>3785</v>
      </c>
    </row>
    <row customHeight="1" ht="11.25">
      <c r="A288" s="486" t="s">
        <v>16</v>
      </c>
      <c r="B288" s="0" t="s">
        <v>3770</v>
      </c>
      <c r="C288" s="0" t="s">
        <v>3771</v>
      </c>
      <c r="D288" s="0" t="s">
        <v>3786</v>
      </c>
      <c r="E288" s="0" t="s">
        <v>3787</v>
      </c>
      <c r="F288" s="0" t="s">
        <v>3051</v>
      </c>
      <c r="G288" s="0" t="s">
        <v>3788</v>
      </c>
    </row>
    <row customHeight="1" ht="11.25">
      <c r="A289" s="486" t="s">
        <v>16</v>
      </c>
      <c r="B289" s="0" t="s">
        <v>3770</v>
      </c>
      <c r="C289" s="0" t="s">
        <v>3771</v>
      </c>
      <c r="D289" s="0" t="s">
        <v>3770</v>
      </c>
      <c r="E289" s="0" t="s">
        <v>3771</v>
      </c>
      <c r="F289" s="0" t="s">
        <v>3052</v>
      </c>
      <c r="G289" s="0" t="s">
        <v>3789</v>
      </c>
    </row>
    <row customHeight="1" ht="11.25">
      <c r="A290" s="486" t="s">
        <v>16</v>
      </c>
      <c r="B290" s="0" t="s">
        <v>3770</v>
      </c>
      <c r="C290" s="0" t="s">
        <v>3771</v>
      </c>
      <c r="D290" s="0" t="s">
        <v>3790</v>
      </c>
      <c r="E290" s="0" t="s">
        <v>3791</v>
      </c>
      <c r="F290" s="0" t="s">
        <v>3051</v>
      </c>
      <c r="G290" s="0" t="s">
        <v>3792</v>
      </c>
    </row>
    <row customHeight="1" ht="11.25">
      <c r="A291" s="486" t="s">
        <v>16</v>
      </c>
      <c r="B291" s="0" t="s">
        <v>3770</v>
      </c>
      <c r="C291" s="0" t="s">
        <v>3771</v>
      </c>
      <c r="D291" s="0" t="s">
        <v>3288</v>
      </c>
      <c r="E291" s="0" t="s">
        <v>3793</v>
      </c>
      <c r="F291" s="0" t="s">
        <v>3051</v>
      </c>
      <c r="G291" s="0" t="s">
        <v>3794</v>
      </c>
    </row>
    <row customHeight="1" ht="11.25">
      <c r="A292" s="486" t="s">
        <v>16</v>
      </c>
      <c r="B292" s="0" t="s">
        <v>3770</v>
      </c>
      <c r="C292" s="0" t="s">
        <v>3771</v>
      </c>
      <c r="D292" s="0" t="s">
        <v>3795</v>
      </c>
      <c r="E292" s="0" t="s">
        <v>3796</v>
      </c>
      <c r="F292" s="0" t="s">
        <v>3121</v>
      </c>
      <c r="G292" s="0" t="s">
        <v>3797</v>
      </c>
    </row>
    <row customHeight="1" ht="11.25">
      <c r="A293" s="486" t="s">
        <v>16</v>
      </c>
      <c r="B293" s="0" t="s">
        <v>3798</v>
      </c>
      <c r="C293" s="0" t="s">
        <v>3799</v>
      </c>
      <c r="D293" s="0" t="s">
        <v>3800</v>
      </c>
      <c r="E293" s="0" t="s">
        <v>3801</v>
      </c>
      <c r="F293" s="0" t="s">
        <v>3051</v>
      </c>
      <c r="G293" s="0" t="s">
        <v>3802</v>
      </c>
    </row>
    <row customHeight="1" ht="11.25">
      <c r="A294" s="486" t="s">
        <v>16</v>
      </c>
      <c r="B294" s="0" t="s">
        <v>3798</v>
      </c>
      <c r="C294" s="0" t="s">
        <v>3799</v>
      </c>
      <c r="D294" s="0" t="s">
        <v>3803</v>
      </c>
      <c r="E294" s="0" t="s">
        <v>3804</v>
      </c>
      <c r="F294" s="0" t="s">
        <v>3051</v>
      </c>
      <c r="G294" s="0" t="s">
        <v>3805</v>
      </c>
    </row>
    <row customHeight="1" ht="11.25">
      <c r="A295" s="486" t="s">
        <v>16</v>
      </c>
      <c r="B295" s="0" t="s">
        <v>3798</v>
      </c>
      <c r="C295" s="0" t="s">
        <v>3799</v>
      </c>
      <c r="D295" s="0" t="s">
        <v>3806</v>
      </c>
      <c r="E295" s="0" t="s">
        <v>3807</v>
      </c>
      <c r="F295" s="0" t="s">
        <v>3051</v>
      </c>
      <c r="G295" s="0" t="s">
        <v>3808</v>
      </c>
    </row>
    <row customHeight="1" ht="11.25">
      <c r="A296" s="486" t="s">
        <v>16</v>
      </c>
      <c r="B296" s="0" t="s">
        <v>3798</v>
      </c>
      <c r="C296" s="0" t="s">
        <v>3799</v>
      </c>
      <c r="D296" s="0" t="s">
        <v>3809</v>
      </c>
      <c r="E296" s="0" t="s">
        <v>3810</v>
      </c>
      <c r="F296" s="0" t="s">
        <v>3051</v>
      </c>
      <c r="G296" s="0" t="s">
        <v>3811</v>
      </c>
    </row>
    <row customHeight="1" ht="11.25">
      <c r="A297" s="486" t="s">
        <v>16</v>
      </c>
      <c r="B297" s="0" t="s">
        <v>3798</v>
      </c>
      <c r="C297" s="0" t="s">
        <v>3799</v>
      </c>
      <c r="D297" s="0" t="s">
        <v>3812</v>
      </c>
      <c r="E297" s="0" t="s">
        <v>3813</v>
      </c>
      <c r="F297" s="0" t="s">
        <v>3051</v>
      </c>
      <c r="G297" s="0" t="s">
        <v>3814</v>
      </c>
    </row>
    <row customHeight="1" ht="11.25">
      <c r="A298" s="486" t="s">
        <v>16</v>
      </c>
      <c r="B298" s="0" t="s">
        <v>3798</v>
      </c>
      <c r="C298" s="0" t="s">
        <v>3799</v>
      </c>
      <c r="D298" s="0" t="s">
        <v>3815</v>
      </c>
      <c r="E298" s="0" t="s">
        <v>3816</v>
      </c>
      <c r="F298" s="0" t="s">
        <v>3051</v>
      </c>
      <c r="G298" s="0" t="s">
        <v>3817</v>
      </c>
    </row>
    <row customHeight="1" ht="11.25">
      <c r="A299" s="486" t="s">
        <v>16</v>
      </c>
      <c r="B299" s="0" t="s">
        <v>3798</v>
      </c>
      <c r="C299" s="0" t="s">
        <v>3799</v>
      </c>
      <c r="D299" s="0" t="s">
        <v>3818</v>
      </c>
      <c r="E299" s="0" t="s">
        <v>3819</v>
      </c>
      <c r="F299" s="0" t="s">
        <v>3051</v>
      </c>
      <c r="G299" s="0" t="s">
        <v>3820</v>
      </c>
    </row>
    <row customHeight="1" ht="11.25">
      <c r="A300" s="486" t="s">
        <v>16</v>
      </c>
      <c r="B300" s="0" t="s">
        <v>3798</v>
      </c>
      <c r="C300" s="0" t="s">
        <v>3799</v>
      </c>
      <c r="D300" s="0" t="s">
        <v>3821</v>
      </c>
      <c r="E300" s="0" t="s">
        <v>3822</v>
      </c>
      <c r="F300" s="0" t="s">
        <v>3051</v>
      </c>
      <c r="G300" s="0" t="s">
        <v>3823</v>
      </c>
    </row>
    <row customHeight="1" ht="11.25">
      <c r="A301" s="486" t="s">
        <v>16</v>
      </c>
      <c r="B301" s="0" t="s">
        <v>3798</v>
      </c>
      <c r="C301" s="0" t="s">
        <v>3799</v>
      </c>
      <c r="D301" s="0" t="s">
        <v>3824</v>
      </c>
      <c r="E301" s="0" t="s">
        <v>3825</v>
      </c>
      <c r="F301" s="0" t="s">
        <v>3051</v>
      </c>
      <c r="G301" s="0" t="s">
        <v>3826</v>
      </c>
    </row>
    <row customHeight="1" ht="11.25">
      <c r="A302" s="486" t="s">
        <v>16</v>
      </c>
      <c r="B302" s="0" t="s">
        <v>3798</v>
      </c>
      <c r="C302" s="0" t="s">
        <v>3799</v>
      </c>
      <c r="D302" s="0" t="s">
        <v>3142</v>
      </c>
      <c r="E302" s="0" t="s">
        <v>3827</v>
      </c>
      <c r="F302" s="0" t="s">
        <v>3051</v>
      </c>
      <c r="G302" s="0" t="s">
        <v>3828</v>
      </c>
    </row>
    <row customHeight="1" ht="11.25">
      <c r="A303" s="486" t="s">
        <v>16</v>
      </c>
      <c r="B303" s="0" t="s">
        <v>3798</v>
      </c>
      <c r="C303" s="0" t="s">
        <v>3799</v>
      </c>
      <c r="D303" s="0" t="s">
        <v>3798</v>
      </c>
      <c r="E303" s="0" t="s">
        <v>3799</v>
      </c>
      <c r="F303" s="0" t="s">
        <v>3052</v>
      </c>
      <c r="G303" s="0" t="s">
        <v>3829</v>
      </c>
    </row>
    <row customHeight="1" ht="11.25">
      <c r="A304" s="486" t="s">
        <v>16</v>
      </c>
      <c r="B304" s="0" t="s">
        <v>3798</v>
      </c>
      <c r="C304" s="0" t="s">
        <v>3799</v>
      </c>
      <c r="D304" s="0" t="s">
        <v>3830</v>
      </c>
      <c r="E304" s="0" t="s">
        <v>3831</v>
      </c>
      <c r="F304" s="0" t="s">
        <v>3176</v>
      </c>
      <c r="G304" s="0" t="s">
        <v>3832</v>
      </c>
    </row>
    <row customHeight="1" ht="11.25">
      <c r="A305" s="486" t="s">
        <v>16</v>
      </c>
      <c r="B305" s="0" t="s">
        <v>3833</v>
      </c>
      <c r="C305" s="0" t="s">
        <v>3834</v>
      </c>
      <c r="D305" s="0" t="s">
        <v>3835</v>
      </c>
      <c r="E305" s="0" t="s">
        <v>3836</v>
      </c>
      <c r="F305" s="0" t="s">
        <v>3051</v>
      </c>
      <c r="G305" s="0" t="s">
        <v>3837</v>
      </c>
    </row>
    <row customHeight="1" ht="11.25">
      <c r="A306" s="486" t="s">
        <v>16</v>
      </c>
      <c r="B306" s="0" t="s">
        <v>3833</v>
      </c>
      <c r="C306" s="0" t="s">
        <v>3834</v>
      </c>
      <c r="D306" s="0" t="s">
        <v>3838</v>
      </c>
      <c r="E306" s="0" t="s">
        <v>3839</v>
      </c>
      <c r="F306" s="0" t="s">
        <v>3051</v>
      </c>
      <c r="G306" s="0" t="s">
        <v>3840</v>
      </c>
    </row>
    <row customHeight="1" ht="11.25">
      <c r="A307" s="486" t="s">
        <v>16</v>
      </c>
      <c r="B307" s="0" t="s">
        <v>3833</v>
      </c>
      <c r="C307" s="0" t="s">
        <v>3834</v>
      </c>
      <c r="D307" s="0" t="s">
        <v>3841</v>
      </c>
      <c r="E307" s="0" t="s">
        <v>3842</v>
      </c>
      <c r="F307" s="0" t="s">
        <v>3051</v>
      </c>
      <c r="G307" s="0" t="s">
        <v>3843</v>
      </c>
    </row>
    <row customHeight="1" ht="11.25">
      <c r="A308" s="486" t="s">
        <v>16</v>
      </c>
      <c r="B308" s="0" t="s">
        <v>3833</v>
      </c>
      <c r="C308" s="0" t="s">
        <v>3834</v>
      </c>
      <c r="D308" s="0" t="s">
        <v>3844</v>
      </c>
      <c r="E308" s="0" t="s">
        <v>3845</v>
      </c>
      <c r="F308" s="0" t="s">
        <v>3051</v>
      </c>
      <c r="G308" s="0" t="s">
        <v>3846</v>
      </c>
    </row>
    <row customHeight="1" ht="11.25">
      <c r="A309" s="486" t="s">
        <v>16</v>
      </c>
      <c r="B309" s="0" t="s">
        <v>3833</v>
      </c>
      <c r="C309" s="0" t="s">
        <v>3834</v>
      </c>
      <c r="D309" s="0" t="s">
        <v>3847</v>
      </c>
      <c r="E309" s="0" t="s">
        <v>3848</v>
      </c>
      <c r="F309" s="0" t="s">
        <v>3051</v>
      </c>
      <c r="G309" s="0" t="s">
        <v>3849</v>
      </c>
    </row>
    <row customHeight="1" ht="11.25">
      <c r="A310" s="486" t="s">
        <v>16</v>
      </c>
      <c r="B310" s="0" t="s">
        <v>3833</v>
      </c>
      <c r="C310" s="0" t="s">
        <v>3834</v>
      </c>
      <c r="D310" s="0" t="s">
        <v>3850</v>
      </c>
      <c r="E310" s="0" t="s">
        <v>3851</v>
      </c>
      <c r="F310" s="0" t="s">
        <v>3051</v>
      </c>
      <c r="G310" s="0" t="s">
        <v>3852</v>
      </c>
    </row>
    <row customHeight="1" ht="11.25">
      <c r="A311" s="486" t="s">
        <v>16</v>
      </c>
      <c r="B311" s="0" t="s">
        <v>3833</v>
      </c>
      <c r="C311" s="0" t="s">
        <v>3834</v>
      </c>
      <c r="D311" s="0" t="s">
        <v>3853</v>
      </c>
      <c r="E311" s="0" t="s">
        <v>3854</v>
      </c>
      <c r="F311" s="0" t="s">
        <v>3051</v>
      </c>
      <c r="G311" s="0" t="s">
        <v>3855</v>
      </c>
    </row>
    <row customHeight="1" ht="11.25">
      <c r="A312" s="486" t="s">
        <v>16</v>
      </c>
      <c r="B312" s="0" t="s">
        <v>3833</v>
      </c>
      <c r="C312" s="0" t="s">
        <v>3834</v>
      </c>
      <c r="D312" s="0" t="s">
        <v>3856</v>
      </c>
      <c r="E312" s="0" t="s">
        <v>3857</v>
      </c>
      <c r="F312" s="0" t="s">
        <v>3051</v>
      </c>
      <c r="G312" s="0" t="s">
        <v>3858</v>
      </c>
    </row>
    <row customHeight="1" ht="11.25">
      <c r="A313" s="486" t="s">
        <v>16</v>
      </c>
      <c r="B313" s="0" t="s">
        <v>3833</v>
      </c>
      <c r="C313" s="0" t="s">
        <v>3834</v>
      </c>
      <c r="D313" s="0" t="s">
        <v>3833</v>
      </c>
      <c r="E313" s="0" t="s">
        <v>3834</v>
      </c>
      <c r="F313" s="0" t="s">
        <v>3052</v>
      </c>
      <c r="G313" s="0" t="s">
        <v>3859</v>
      </c>
    </row>
    <row customHeight="1" ht="11.25">
      <c r="A314" s="486" t="s">
        <v>16</v>
      </c>
      <c r="B314" s="0" t="s">
        <v>3833</v>
      </c>
      <c r="C314" s="0" t="s">
        <v>3834</v>
      </c>
      <c r="D314" s="0" t="s">
        <v>3860</v>
      </c>
      <c r="E314" s="0" t="s">
        <v>3861</v>
      </c>
      <c r="F314" s="0" t="s">
        <v>3121</v>
      </c>
      <c r="G314" s="0" t="s">
        <v>3862</v>
      </c>
    </row>
    <row customHeight="1" ht="11.25">
      <c r="A315" s="486" t="s">
        <v>16</v>
      </c>
      <c r="B315" s="0" t="s">
        <v>3863</v>
      </c>
      <c r="C315" s="0" t="s">
        <v>3864</v>
      </c>
      <c r="D315" s="0" t="s">
        <v>3865</v>
      </c>
      <c r="E315" s="0" t="s">
        <v>3866</v>
      </c>
      <c r="F315" s="0" t="s">
        <v>3051</v>
      </c>
      <c r="G315" s="0" t="s">
        <v>3867</v>
      </c>
    </row>
    <row customHeight="1" ht="11.25">
      <c r="A316" s="486" t="s">
        <v>16</v>
      </c>
      <c r="B316" s="0" t="s">
        <v>3863</v>
      </c>
      <c r="C316" s="0" t="s">
        <v>3864</v>
      </c>
      <c r="D316" s="0" t="s">
        <v>3197</v>
      </c>
      <c r="E316" s="0" t="s">
        <v>3868</v>
      </c>
      <c r="F316" s="0" t="s">
        <v>3051</v>
      </c>
      <c r="G316" s="0" t="s">
        <v>3869</v>
      </c>
    </row>
    <row customHeight="1" ht="11.25">
      <c r="A317" s="486" t="s">
        <v>16</v>
      </c>
      <c r="B317" s="0" t="s">
        <v>3863</v>
      </c>
      <c r="C317" s="0" t="s">
        <v>3864</v>
      </c>
      <c r="D317" s="0" t="s">
        <v>3870</v>
      </c>
      <c r="E317" s="0" t="s">
        <v>3871</v>
      </c>
      <c r="F317" s="0" t="s">
        <v>3051</v>
      </c>
      <c r="G317" s="0" t="s">
        <v>3872</v>
      </c>
    </row>
    <row customHeight="1" ht="11.25">
      <c r="A318" s="486" t="s">
        <v>16</v>
      </c>
      <c r="B318" s="0" t="s">
        <v>3863</v>
      </c>
      <c r="C318" s="0" t="s">
        <v>3864</v>
      </c>
      <c r="D318" s="0" t="s">
        <v>3847</v>
      </c>
      <c r="E318" s="0" t="s">
        <v>3873</v>
      </c>
      <c r="F318" s="0" t="s">
        <v>3051</v>
      </c>
      <c r="G318" s="0" t="s">
        <v>3874</v>
      </c>
    </row>
    <row customHeight="1" ht="11.25">
      <c r="A319" s="486" t="s">
        <v>16</v>
      </c>
      <c r="B319" s="0" t="s">
        <v>3863</v>
      </c>
      <c r="C319" s="0" t="s">
        <v>3864</v>
      </c>
      <c r="D319" s="0" t="s">
        <v>3875</v>
      </c>
      <c r="E319" s="0" t="s">
        <v>3876</v>
      </c>
      <c r="F319" s="0" t="s">
        <v>3051</v>
      </c>
      <c r="G319" s="0" t="s">
        <v>3877</v>
      </c>
    </row>
    <row customHeight="1" ht="11.25">
      <c r="A320" s="486" t="s">
        <v>16</v>
      </c>
      <c r="B320" s="0" t="s">
        <v>3863</v>
      </c>
      <c r="C320" s="0" t="s">
        <v>3864</v>
      </c>
      <c r="D320" s="0" t="s">
        <v>3824</v>
      </c>
      <c r="E320" s="0" t="s">
        <v>3878</v>
      </c>
      <c r="F320" s="0" t="s">
        <v>3051</v>
      </c>
      <c r="G320" s="0" t="s">
        <v>3879</v>
      </c>
    </row>
    <row customHeight="1" ht="11.25">
      <c r="A321" s="486" t="s">
        <v>16</v>
      </c>
      <c r="B321" s="0" t="s">
        <v>3863</v>
      </c>
      <c r="C321" s="0" t="s">
        <v>3864</v>
      </c>
      <c r="D321" s="0" t="s">
        <v>3880</v>
      </c>
      <c r="E321" s="0" t="s">
        <v>3881</v>
      </c>
      <c r="F321" s="0" t="s">
        <v>3051</v>
      </c>
      <c r="G321" s="0" t="s">
        <v>3882</v>
      </c>
    </row>
    <row customHeight="1" ht="11.25">
      <c r="A322" s="486" t="s">
        <v>16</v>
      </c>
      <c r="B322" s="0" t="s">
        <v>3863</v>
      </c>
      <c r="C322" s="0" t="s">
        <v>3864</v>
      </c>
      <c r="D322" s="0" t="s">
        <v>3883</v>
      </c>
      <c r="E322" s="0" t="s">
        <v>3884</v>
      </c>
      <c r="F322" s="0" t="s">
        <v>3051</v>
      </c>
      <c r="G322" s="0" t="s">
        <v>3885</v>
      </c>
    </row>
    <row customHeight="1" ht="11.25">
      <c r="A323" s="486" t="s">
        <v>16</v>
      </c>
      <c r="B323" s="0" t="s">
        <v>3863</v>
      </c>
      <c r="C323" s="0" t="s">
        <v>3864</v>
      </c>
      <c r="D323" s="0" t="s">
        <v>3863</v>
      </c>
      <c r="E323" s="0" t="s">
        <v>3864</v>
      </c>
      <c r="F323" s="0" t="s">
        <v>3052</v>
      </c>
      <c r="G323" s="0" t="s">
        <v>3886</v>
      </c>
    </row>
    <row customHeight="1" ht="11.25">
      <c r="A324" s="486" t="s">
        <v>16</v>
      </c>
      <c r="B324" s="0" t="s">
        <v>3863</v>
      </c>
      <c r="C324" s="0" t="s">
        <v>3864</v>
      </c>
      <c r="D324" s="0" t="s">
        <v>3887</v>
      </c>
      <c r="E324" s="0" t="s">
        <v>3888</v>
      </c>
      <c r="F324" s="0" t="s">
        <v>3121</v>
      </c>
      <c r="G324" s="0" t="s">
        <v>3889</v>
      </c>
    </row>
    <row customHeight="1" ht="11.25">
      <c r="A325" s="486" t="s">
        <v>16</v>
      </c>
      <c r="B325" s="0" t="s">
        <v>3890</v>
      </c>
      <c r="C325" s="0" t="s">
        <v>3891</v>
      </c>
      <c r="D325" s="0" t="s">
        <v>3892</v>
      </c>
      <c r="E325" s="0" t="s">
        <v>3893</v>
      </c>
      <c r="F325" s="0" t="s">
        <v>3051</v>
      </c>
      <c r="G325" s="0" t="s">
        <v>3894</v>
      </c>
    </row>
    <row customHeight="1" ht="11.25">
      <c r="A326" s="486" t="s">
        <v>16</v>
      </c>
      <c r="B326" s="0" t="s">
        <v>3890</v>
      </c>
      <c r="C326" s="0" t="s">
        <v>3891</v>
      </c>
      <c r="D326" s="0" t="s">
        <v>3057</v>
      </c>
      <c r="E326" s="0" t="s">
        <v>3895</v>
      </c>
      <c r="F326" s="0" t="s">
        <v>3051</v>
      </c>
      <c r="G326" s="0" t="s">
        <v>3896</v>
      </c>
    </row>
    <row customHeight="1" ht="11.25">
      <c r="A327" s="486" t="s">
        <v>16</v>
      </c>
      <c r="B327" s="0" t="s">
        <v>3890</v>
      </c>
      <c r="C327" s="0" t="s">
        <v>3891</v>
      </c>
      <c r="D327" s="0" t="s">
        <v>3897</v>
      </c>
      <c r="E327" s="0" t="s">
        <v>3898</v>
      </c>
      <c r="F327" s="0" t="s">
        <v>3051</v>
      </c>
      <c r="G327" s="0" t="s">
        <v>3899</v>
      </c>
    </row>
    <row customHeight="1" ht="11.25">
      <c r="A328" s="486" t="s">
        <v>16</v>
      </c>
      <c r="B328" s="0" t="s">
        <v>3890</v>
      </c>
      <c r="C328" s="0" t="s">
        <v>3891</v>
      </c>
      <c r="D328" s="0" t="s">
        <v>3900</v>
      </c>
      <c r="E328" s="0" t="s">
        <v>3901</v>
      </c>
      <c r="F328" s="0" t="s">
        <v>3051</v>
      </c>
      <c r="G328" s="0" t="s">
        <v>3902</v>
      </c>
    </row>
    <row customHeight="1" ht="11.25">
      <c r="A329" s="486" t="s">
        <v>16</v>
      </c>
      <c r="B329" s="0" t="s">
        <v>3890</v>
      </c>
      <c r="C329" s="0" t="s">
        <v>3891</v>
      </c>
      <c r="D329" s="0" t="s">
        <v>3903</v>
      </c>
      <c r="E329" s="0" t="s">
        <v>3904</v>
      </c>
      <c r="F329" s="0" t="s">
        <v>3051</v>
      </c>
      <c r="G329" s="0" t="s">
        <v>3905</v>
      </c>
    </row>
    <row customHeight="1" ht="11.25">
      <c r="A330" s="486" t="s">
        <v>16</v>
      </c>
      <c r="B330" s="0" t="s">
        <v>3890</v>
      </c>
      <c r="C330" s="0" t="s">
        <v>3891</v>
      </c>
      <c r="D330" s="0" t="s">
        <v>3130</v>
      </c>
      <c r="E330" s="0" t="s">
        <v>3906</v>
      </c>
      <c r="F330" s="0" t="s">
        <v>3051</v>
      </c>
      <c r="G330" s="0" t="s">
        <v>3907</v>
      </c>
    </row>
    <row customHeight="1" ht="11.25">
      <c r="A331" s="486" t="s">
        <v>16</v>
      </c>
      <c r="B331" s="0" t="s">
        <v>3890</v>
      </c>
      <c r="C331" s="0" t="s">
        <v>3891</v>
      </c>
      <c r="D331" s="0" t="s">
        <v>3908</v>
      </c>
      <c r="E331" s="0" t="s">
        <v>3909</v>
      </c>
      <c r="F331" s="0" t="s">
        <v>3051</v>
      </c>
      <c r="G331" s="0" t="s">
        <v>3910</v>
      </c>
    </row>
    <row customHeight="1" ht="11.25">
      <c r="A332" s="486" t="s">
        <v>16</v>
      </c>
      <c r="B332" s="0" t="s">
        <v>3890</v>
      </c>
      <c r="C332" s="0" t="s">
        <v>3891</v>
      </c>
      <c r="D332" s="0" t="s">
        <v>3911</v>
      </c>
      <c r="E332" s="0" t="s">
        <v>3912</v>
      </c>
      <c r="F332" s="0" t="s">
        <v>3051</v>
      </c>
      <c r="G332" s="0" t="s">
        <v>3913</v>
      </c>
    </row>
    <row customHeight="1" ht="11.25">
      <c r="A333" s="486" t="s">
        <v>16</v>
      </c>
      <c r="B333" s="0" t="s">
        <v>3890</v>
      </c>
      <c r="C333" s="0" t="s">
        <v>3891</v>
      </c>
      <c r="D333" s="0" t="s">
        <v>3914</v>
      </c>
      <c r="E333" s="0" t="s">
        <v>3915</v>
      </c>
      <c r="F333" s="0" t="s">
        <v>3051</v>
      </c>
      <c r="G333" s="0" t="s">
        <v>3916</v>
      </c>
    </row>
    <row customHeight="1" ht="11.25">
      <c r="A334" s="486" t="s">
        <v>16</v>
      </c>
      <c r="B334" s="0" t="s">
        <v>3890</v>
      </c>
      <c r="C334" s="0" t="s">
        <v>3891</v>
      </c>
      <c r="D334" s="0" t="s">
        <v>3917</v>
      </c>
      <c r="E334" s="0" t="s">
        <v>3918</v>
      </c>
      <c r="F334" s="0" t="s">
        <v>3051</v>
      </c>
      <c r="G334" s="0" t="s">
        <v>3919</v>
      </c>
    </row>
    <row customHeight="1" ht="11.25">
      <c r="A335" s="486" t="s">
        <v>16</v>
      </c>
      <c r="B335" s="0" t="s">
        <v>3890</v>
      </c>
      <c r="C335" s="0" t="s">
        <v>3891</v>
      </c>
      <c r="D335" s="0" t="s">
        <v>3920</v>
      </c>
      <c r="E335" s="0" t="s">
        <v>3921</v>
      </c>
      <c r="F335" s="0" t="s">
        <v>3051</v>
      </c>
      <c r="G335" s="0" t="s">
        <v>3922</v>
      </c>
    </row>
    <row customHeight="1" ht="11.25">
      <c r="A336" s="486" t="s">
        <v>16</v>
      </c>
      <c r="B336" s="0" t="s">
        <v>3890</v>
      </c>
      <c r="C336" s="0" t="s">
        <v>3891</v>
      </c>
      <c r="D336" s="0" t="s">
        <v>3138</v>
      </c>
      <c r="E336" s="0" t="s">
        <v>3923</v>
      </c>
      <c r="F336" s="0" t="s">
        <v>3051</v>
      </c>
      <c r="G336" s="0" t="s">
        <v>3924</v>
      </c>
    </row>
    <row customHeight="1" ht="11.25">
      <c r="A337" s="486" t="s">
        <v>16</v>
      </c>
      <c r="B337" s="0" t="s">
        <v>3890</v>
      </c>
      <c r="C337" s="0" t="s">
        <v>3891</v>
      </c>
      <c r="D337" s="0" t="s">
        <v>3925</v>
      </c>
      <c r="E337" s="0" t="s">
        <v>3926</v>
      </c>
      <c r="F337" s="0" t="s">
        <v>3051</v>
      </c>
      <c r="G337" s="0" t="s">
        <v>3927</v>
      </c>
    </row>
    <row customHeight="1" ht="11.25">
      <c r="A338" s="486" t="s">
        <v>16</v>
      </c>
      <c r="B338" s="0" t="s">
        <v>3890</v>
      </c>
      <c r="C338" s="0" t="s">
        <v>3891</v>
      </c>
      <c r="D338" s="0" t="s">
        <v>3928</v>
      </c>
      <c r="E338" s="0" t="s">
        <v>3929</v>
      </c>
      <c r="F338" s="0" t="s">
        <v>3051</v>
      </c>
      <c r="G338" s="0" t="s">
        <v>3930</v>
      </c>
    </row>
    <row customHeight="1" ht="11.25">
      <c r="A339" s="486" t="s">
        <v>16</v>
      </c>
      <c r="B339" s="0" t="s">
        <v>3890</v>
      </c>
      <c r="C339" s="0" t="s">
        <v>3891</v>
      </c>
      <c r="D339" s="0" t="s">
        <v>3648</v>
      </c>
      <c r="E339" s="0" t="s">
        <v>3931</v>
      </c>
      <c r="F339" s="0" t="s">
        <v>3051</v>
      </c>
      <c r="G339" s="0" t="s">
        <v>3932</v>
      </c>
    </row>
    <row customHeight="1" ht="11.25">
      <c r="A340" s="486" t="s">
        <v>16</v>
      </c>
      <c r="B340" s="0" t="s">
        <v>3890</v>
      </c>
      <c r="C340" s="0" t="s">
        <v>3891</v>
      </c>
      <c r="D340" s="0" t="s">
        <v>3933</v>
      </c>
      <c r="E340" s="0" t="s">
        <v>3934</v>
      </c>
      <c r="F340" s="0" t="s">
        <v>3051</v>
      </c>
      <c r="G340" s="0" t="s">
        <v>3935</v>
      </c>
    </row>
    <row customHeight="1" ht="11.25">
      <c r="A341" s="486" t="s">
        <v>16</v>
      </c>
      <c r="B341" s="0" t="s">
        <v>3890</v>
      </c>
      <c r="C341" s="0" t="s">
        <v>3891</v>
      </c>
      <c r="D341" s="0" t="s">
        <v>3936</v>
      </c>
      <c r="E341" s="0" t="s">
        <v>3937</v>
      </c>
      <c r="F341" s="0" t="s">
        <v>3051</v>
      </c>
      <c r="G341" s="0" t="s">
        <v>3938</v>
      </c>
    </row>
    <row customHeight="1" ht="11.25">
      <c r="A342" s="486" t="s">
        <v>16</v>
      </c>
      <c r="B342" s="0" t="s">
        <v>3890</v>
      </c>
      <c r="C342" s="0" t="s">
        <v>3891</v>
      </c>
      <c r="D342" s="0" t="s">
        <v>3939</v>
      </c>
      <c r="E342" s="0" t="s">
        <v>3940</v>
      </c>
      <c r="F342" s="0" t="s">
        <v>3051</v>
      </c>
      <c r="G342" s="0" t="s">
        <v>3941</v>
      </c>
    </row>
    <row customHeight="1" ht="11.25">
      <c r="A343" s="486" t="s">
        <v>16</v>
      </c>
      <c r="B343" s="0" t="s">
        <v>3890</v>
      </c>
      <c r="C343" s="0" t="s">
        <v>3891</v>
      </c>
      <c r="D343" s="0" t="s">
        <v>3890</v>
      </c>
      <c r="E343" s="0" t="s">
        <v>3891</v>
      </c>
      <c r="F343" s="0" t="s">
        <v>3052</v>
      </c>
      <c r="G343" s="0" t="s">
        <v>3942</v>
      </c>
    </row>
    <row customHeight="1" ht="11.25">
      <c r="A344" s="486" t="s">
        <v>16</v>
      </c>
      <c r="B344" s="0" t="s">
        <v>3943</v>
      </c>
      <c r="C344" s="0" t="s">
        <v>3944</v>
      </c>
      <c r="D344" s="0" t="s">
        <v>3943</v>
      </c>
      <c r="E344" s="0" t="s">
        <v>3944</v>
      </c>
      <c r="F344" s="0" t="s">
        <v>3945</v>
      </c>
      <c r="G344" s="0" t="s">
        <v>3946</v>
      </c>
    </row>
    <row customHeight="1" ht="11.25">
      <c r="A345" s="486" t="s">
        <v>16</v>
      </c>
      <c r="B345" s="0" t="s">
        <v>3947</v>
      </c>
      <c r="C345" s="0" t="s">
        <v>3948</v>
      </c>
      <c r="D345" s="0" t="s">
        <v>3947</v>
      </c>
      <c r="E345" s="0" t="s">
        <v>3948</v>
      </c>
      <c r="F345" s="0" t="s">
        <v>3945</v>
      </c>
      <c r="G345" s="0" t="s">
        <v>3949</v>
      </c>
    </row>
    <row customHeight="1" ht="11.25">
      <c r="A346" s="486" t="s">
        <v>16</v>
      </c>
      <c r="B346" s="0" t="s">
        <v>3950</v>
      </c>
      <c r="C346" s="0" t="s">
        <v>3951</v>
      </c>
      <c r="D346" s="0" t="s">
        <v>3950</v>
      </c>
      <c r="E346" s="0" t="s">
        <v>3951</v>
      </c>
      <c r="F346" s="0" t="s">
        <v>3945</v>
      </c>
      <c r="G346" s="0" t="s">
        <v>3952</v>
      </c>
    </row>
    <row customHeight="1" ht="11.25">
      <c r="A347" s="486" t="s">
        <v>16</v>
      </c>
      <c r="B347" s="0" t="s">
        <v>3953</v>
      </c>
      <c r="C347" s="0" t="s">
        <v>3954</v>
      </c>
      <c r="D347" s="0" t="s">
        <v>3953</v>
      </c>
      <c r="E347" s="0" t="s">
        <v>3954</v>
      </c>
      <c r="F347" s="0" t="s">
        <v>3945</v>
      </c>
      <c r="G347" s="0" t="s">
        <v>3955</v>
      </c>
    </row>
    <row customHeight="1" ht="11.25">
      <c r="A348" s="486" t="s">
        <v>16</v>
      </c>
      <c r="B348" s="0" t="s">
        <v>3956</v>
      </c>
      <c r="C348" s="0" t="s">
        <v>3957</v>
      </c>
      <c r="D348" s="0" t="s">
        <v>3956</v>
      </c>
      <c r="E348" s="0" t="s">
        <v>3957</v>
      </c>
      <c r="F348" s="0" t="s">
        <v>3945</v>
      </c>
      <c r="G348" s="0" t="s">
        <v>3958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47809-9CC7-1DAD-F15F-DDCB318F30BB}"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3677" width="13.8515625" customWidth="1"/>
    <col min="2" max="2" style="13677" width="10.421875" customWidth="1"/>
    <col min="3" max="3" style="13677" width="7.57421875" customWidth="1"/>
    <col min="4" max="4" style="13677" width="13.8515625" customWidth="1"/>
    <col min="5" max="5" style="13677" width="11.57421875" customWidth="1"/>
    <col min="6" max="6" style="13677" width="16.28125" customWidth="1"/>
    <col min="7" max="7" style="13677" width="16.00390625" customWidth="1"/>
    <col min="8" max="9" style="13677" width="16.140625" customWidth="1"/>
  </cols>
  <sheetData>
    <row customHeight="1" ht="11.25">
      <c r="A1" s="948" t="s">
        <v>3959</v>
      </c>
      <c r="B1" s="948" t="s">
        <v>3960</v>
      </c>
      <c r="C1" s="1272" t="s">
        <v>3961</v>
      </c>
      <c r="D1" s="948" t="s">
        <v>3962</v>
      </c>
      <c r="E1" s="948" t="s">
        <v>3963</v>
      </c>
      <c r="F1" s="1272" t="s">
        <v>3964</v>
      </c>
      <c r="G1" s="1272" t="s">
        <v>3965</v>
      </c>
      <c r="H1" s="1272" t="s">
        <v>3966</v>
      </c>
      <c r="I1" s="1272" t="s">
        <v>3967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517C43-0FF7-BB7B-4147-692D61223F3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107477-DA35-8E83-FEF7-03C1F6BD9FB9}" mc:Ignorable="x14ac xr xr2 xr3">
  <sheetPr>
    <tabColor rgb="FFFFCC99"/>
  </sheetPr>
  <dimension ref="A1:B18"/>
  <sheetViews>
    <sheetView topLeftCell="A1" showGridLines="0" workbookViewId="0">
      <selection activeCell="A1" sqref="A1"/>
    </sheetView>
  </sheetViews>
  <sheetFormatPr defaultColWidth="9.140625" customHeight="1" defaultRowHeight="11.25"/>
  <cols>
    <col min="1" max="2" style="13680" width="9.140625"/>
  </cols>
  <sheetData>
    <row customHeight="1" ht="11.25">
      <c r="A1" s="296" t="s">
        <v>205</v>
      </c>
      <c r="B1" s="296" t="s">
        <v>3968</v>
      </c>
    </row>
    <row customHeight="1" ht="11.25">
      <c r="A2" s="8168" t="s">
        <v>98</v>
      </c>
      <c r="B2" s="8168" t="s">
        <v>3969</v>
      </c>
    </row>
    <row customHeight="1" ht="11.25">
      <c r="A3" s="8168" t="s">
        <v>106</v>
      </c>
      <c r="B3" s="8168" t="s">
        <v>3970</v>
      </c>
    </row>
    <row customHeight="1" ht="11.25">
      <c r="A4" s="8168" t="s">
        <v>110</v>
      </c>
      <c r="B4" s="8168" t="s">
        <v>3971</v>
      </c>
    </row>
    <row customHeight="1" ht="11.25">
      <c r="A5" s="8168" t="s">
        <v>114</v>
      </c>
      <c r="B5" s="8168" t="s">
        <v>3972</v>
      </c>
    </row>
    <row customHeight="1" ht="11.25">
      <c r="A6" s="8168" t="s">
        <v>119</v>
      </c>
      <c r="B6" s="8168" t="s">
        <v>3973</v>
      </c>
    </row>
    <row customHeight="1" ht="11.25">
      <c r="A7" s="8168" t="s">
        <v>123</v>
      </c>
      <c r="B7" s="8168" t="s">
        <v>3974</v>
      </c>
    </row>
    <row customHeight="1" ht="11.25">
      <c r="A8" s="8168" t="s">
        <v>127</v>
      </c>
      <c r="B8" s="8168" t="s">
        <v>3975</v>
      </c>
    </row>
    <row customHeight="1" ht="11.25">
      <c r="A9" s="8168" t="s">
        <v>132</v>
      </c>
      <c r="B9" s="8168" t="s">
        <v>3976</v>
      </c>
    </row>
    <row customHeight="1" ht="11.25">
      <c r="A10" s="8168" t="s">
        <v>137</v>
      </c>
      <c r="B10" s="8168" t="s">
        <v>3977</v>
      </c>
    </row>
    <row customHeight="1" ht="11.25">
      <c r="A11" s="8168" t="s">
        <v>142</v>
      </c>
      <c r="B11" s="8168" t="s">
        <v>3978</v>
      </c>
    </row>
    <row customHeight="1" ht="11.25">
      <c r="A12" s="8168" t="s">
        <v>147</v>
      </c>
      <c r="B12" s="8168" t="s">
        <v>3979</v>
      </c>
    </row>
    <row customHeight="1" ht="11.25">
      <c r="A13" s="8168" t="s">
        <v>152</v>
      </c>
      <c r="B13" s="8168" t="s">
        <v>3980</v>
      </c>
    </row>
    <row customHeight="1" ht="11.25">
      <c r="A14" s="8168" t="s">
        <v>157</v>
      </c>
      <c r="B14" s="8168" t="s">
        <v>3981</v>
      </c>
    </row>
    <row customHeight="1" ht="11.25">
      <c r="A15" s="8168" t="s">
        <v>162</v>
      </c>
      <c r="B15" s="8168" t="s">
        <v>3982</v>
      </c>
    </row>
    <row customHeight="1" ht="11.25">
      <c r="A16" s="8168" t="s">
        <v>167</v>
      </c>
      <c r="B16" s="8168" t="s">
        <v>3983</v>
      </c>
    </row>
    <row customHeight="1" ht="11.25">
      <c r="A17" s="8168" t="s">
        <v>172</v>
      </c>
      <c r="B17" s="8168" t="s">
        <v>3984</v>
      </c>
    </row>
    <row customHeight="1" ht="11.25">
      <c r="A18" s="8168" t="s">
        <v>177</v>
      </c>
      <c r="B18" s="8168" t="s">
        <v>3985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7BE0E-4059-64A1-E735-ADCB80919A7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677" width="9.140625"/>
    <col min="2" max="2" style="13677" width="65.28125" customWidth="1"/>
  </cols>
  <sheetData>
    <row customHeight="1" ht="11.25">
      <c r="A1" s="948" t="s">
        <v>3986</v>
      </c>
      <c r="B1" s="948" t="s">
        <v>3987</v>
      </c>
    </row>
    <row customHeight="1" ht="11.25">
      <c r="A2" s="948">
        <v>4213775</v>
      </c>
      <c r="B2" s="948" t="s">
        <v>1359</v>
      </c>
    </row>
    <row customHeight="1" ht="11.25">
      <c r="A3" s="948">
        <v>4213784</v>
      </c>
      <c r="B3" s="948" t="s">
        <v>1390</v>
      </c>
    </row>
    <row customHeight="1" ht="11.25">
      <c r="A4" s="948">
        <v>4213781</v>
      </c>
      <c r="B4" s="948" t="s">
        <v>1383</v>
      </c>
    </row>
    <row customHeight="1" ht="11.25">
      <c r="A5" s="948">
        <v>4213776</v>
      </c>
      <c r="B5" s="948" t="s">
        <v>235</v>
      </c>
    </row>
    <row customHeight="1" ht="11.25">
      <c r="A6" s="948">
        <v>4213777</v>
      </c>
      <c r="B6" s="948" t="s">
        <v>241</v>
      </c>
    </row>
    <row customHeight="1" ht="11.25">
      <c r="A7" s="948">
        <v>4213778</v>
      </c>
      <c r="B7" s="948" t="s">
        <v>247</v>
      </c>
    </row>
    <row customHeight="1" ht="11.25">
      <c r="A8" s="948">
        <v>4213780</v>
      </c>
      <c r="B8" s="948" t="s">
        <v>253</v>
      </c>
    </row>
    <row customHeight="1" ht="11.25">
      <c r="A9" s="948">
        <v>4213779</v>
      </c>
      <c r="B9" s="948" t="s">
        <v>1523</v>
      </c>
    </row>
    <row customHeight="1" ht="11.25">
      <c r="A10" s="948">
        <v>4213783</v>
      </c>
      <c r="B10" s="948" t="s">
        <v>1538</v>
      </c>
    </row>
    <row customHeight="1" ht="11.25">
      <c r="A11" s="948">
        <v>4213782</v>
      </c>
      <c r="B11" s="948" t="s">
        <v>259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F45E15-0B59-E96F-3BE6-CB8372CCF741}"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3677" width="9.140625"/>
    <col min="2" max="2" style="13677" width="65.28125" customWidth="1"/>
  </cols>
  <sheetData>
    <row customHeight="1" ht="11.25">
      <c r="A1" s="948" t="s">
        <v>3986</v>
      </c>
      <c r="B1" s="948" t="s">
        <v>3988</v>
      </c>
    </row>
    <row customHeight="1" ht="11.25">
      <c r="A2" s="948" t="s">
        <v>3989</v>
      </c>
      <c r="B2" s="948" t="s">
        <v>1634</v>
      </c>
    </row>
    <row customHeight="1" ht="11.25">
      <c r="A3" s="948" t="s">
        <v>3990</v>
      </c>
      <c r="B3" s="948" t="s">
        <v>1644</v>
      </c>
    </row>
    <row customHeight="1" ht="11.25">
      <c r="A4" s="948" t="s">
        <v>3991</v>
      </c>
      <c r="B4" s="948" t="s">
        <v>1653</v>
      </c>
    </row>
    <row customHeight="1" ht="11.25">
      <c r="A5" s="948" t="s">
        <v>3992</v>
      </c>
      <c r="B5" s="948" t="s">
        <v>1662</v>
      </c>
    </row>
    <row customHeight="1" ht="11.25">
      <c r="A6" s="948" t="s">
        <v>3993</v>
      </c>
      <c r="B6" s="948" t="s">
        <v>1668</v>
      </c>
    </row>
    <row customHeight="1" ht="11.25">
      <c r="A7" s="948" t="s">
        <v>3994</v>
      </c>
      <c r="B7" s="948" t="s">
        <v>1676</v>
      </c>
    </row>
    <row customHeight="1" ht="11.25">
      <c r="A8" s="948" t="s">
        <v>3995</v>
      </c>
      <c r="B8" s="948" t="s">
        <v>1683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07307-6E26-3153-06E1-62516627A05A}" mc:Ignorable="x14ac xr xr2 xr3">
  <sheetPr>
    <tabColor rgb="FFFFCC99"/>
  </sheetPr>
  <dimension ref="A1:G348"/>
  <sheetViews>
    <sheetView topLeftCell="A1" showGridLines="0" workbookViewId="0">
      <selection activeCell="A1" sqref="A1"/>
    </sheetView>
  </sheetViews>
  <sheetFormatPr customHeight="1" defaultRowHeight="11.25"/>
  <sheetData>
    <row customHeight="1" ht="11.25">
      <c r="A1" s="486" t="s">
        <v>3040</v>
      </c>
      <c r="B1" s="486" t="s">
        <v>3041</v>
      </c>
      <c r="C1" s="486" t="s">
        <v>3042</v>
      </c>
      <c r="D1" s="486" t="s">
        <v>3043</v>
      </c>
      <c r="E1" s="0" t="s">
        <v>3044</v>
      </c>
      <c r="F1" s="0" t="s">
        <v>3045</v>
      </c>
      <c r="G1" s="0" t="s">
        <v>3046</v>
      </c>
    </row>
    <row customHeight="1" ht="11.25">
      <c r="A2" s="0" t="s">
        <v>16</v>
      </c>
      <c r="B2" s="0" t="s">
        <v>3047</v>
      </c>
      <c r="C2" s="0" t="s">
        <v>3048</v>
      </c>
      <c r="D2" s="0" t="s">
        <v>3049</v>
      </c>
      <c r="E2" s="0" t="s">
        <v>3050</v>
      </c>
      <c r="F2" s="0" t="s">
        <v>3051</v>
      </c>
      <c r="G2" s="0" t="s">
        <v>187</v>
      </c>
    </row>
    <row customHeight="1" ht="11.25">
      <c r="A3" s="0" t="s">
        <v>16</v>
      </c>
      <c r="B3" s="0" t="s">
        <v>3047</v>
      </c>
      <c r="C3" s="0" t="s">
        <v>3048</v>
      </c>
      <c r="D3" s="0" t="s">
        <v>3047</v>
      </c>
      <c r="E3" s="0" t="s">
        <v>3048</v>
      </c>
      <c r="F3" s="0" t="s">
        <v>3052</v>
      </c>
      <c r="G3" s="0" t="s">
        <v>104</v>
      </c>
    </row>
    <row customHeight="1" ht="11.25">
      <c r="A4" s="0" t="s">
        <v>16</v>
      </c>
      <c r="B4" s="0" t="s">
        <v>3047</v>
      </c>
      <c r="C4" s="0" t="s">
        <v>3048</v>
      </c>
      <c r="D4" s="0" t="s">
        <v>3053</v>
      </c>
      <c r="E4" s="0" t="s">
        <v>3054</v>
      </c>
      <c r="F4" s="0" t="s">
        <v>3051</v>
      </c>
      <c r="G4" s="0" t="s">
        <v>90</v>
      </c>
    </row>
    <row customHeight="1" ht="11.25">
      <c r="A5" s="0" t="s">
        <v>16</v>
      </c>
      <c r="B5" s="0" t="s">
        <v>3047</v>
      </c>
      <c r="C5" s="0" t="s">
        <v>3048</v>
      </c>
      <c r="D5" s="0" t="s">
        <v>3055</v>
      </c>
      <c r="E5" s="0" t="s">
        <v>3056</v>
      </c>
      <c r="F5" s="0" t="s">
        <v>3051</v>
      </c>
      <c r="G5" s="0" t="s">
        <v>91</v>
      </c>
    </row>
    <row customHeight="1" ht="11.25">
      <c r="A6" s="0" t="s">
        <v>16</v>
      </c>
      <c r="B6" s="0" t="s">
        <v>3047</v>
      </c>
      <c r="C6" s="0" t="s">
        <v>3048</v>
      </c>
      <c r="D6" s="0" t="s">
        <v>3057</v>
      </c>
      <c r="E6" s="0" t="s">
        <v>3058</v>
      </c>
      <c r="F6" s="0" t="s">
        <v>3051</v>
      </c>
      <c r="G6" s="0" t="s">
        <v>118</v>
      </c>
    </row>
    <row customHeight="1" ht="11.25">
      <c r="A7" s="0" t="s">
        <v>16</v>
      </c>
      <c r="B7" s="0" t="s">
        <v>3047</v>
      </c>
      <c r="C7" s="0" t="s">
        <v>3048</v>
      </c>
      <c r="D7" s="0" t="s">
        <v>3059</v>
      </c>
      <c r="E7" s="0" t="s">
        <v>3060</v>
      </c>
      <c r="F7" s="0" t="s">
        <v>3051</v>
      </c>
      <c r="G7" s="0" t="s">
        <v>92</v>
      </c>
    </row>
    <row customHeight="1" ht="11.25">
      <c r="A8" s="0" t="s">
        <v>16</v>
      </c>
      <c r="B8" s="0" t="s">
        <v>3047</v>
      </c>
      <c r="C8" s="0" t="s">
        <v>3048</v>
      </c>
      <c r="D8" s="0" t="s">
        <v>3061</v>
      </c>
      <c r="E8" s="0" t="s">
        <v>3062</v>
      </c>
      <c r="F8" s="0" t="s">
        <v>3051</v>
      </c>
      <c r="G8" s="0" t="s">
        <v>93</v>
      </c>
    </row>
    <row customHeight="1" ht="11.25">
      <c r="A9" s="0" t="s">
        <v>16</v>
      </c>
      <c r="B9" s="0" t="s">
        <v>3047</v>
      </c>
      <c r="C9" s="0" t="s">
        <v>3048</v>
      </c>
      <c r="D9" s="0" t="s">
        <v>3063</v>
      </c>
      <c r="E9" s="0" t="s">
        <v>3064</v>
      </c>
      <c r="F9" s="0" t="s">
        <v>3051</v>
      </c>
      <c r="G9" s="0" t="s">
        <v>131</v>
      </c>
    </row>
    <row customHeight="1" ht="11.25">
      <c r="A10" s="0" t="s">
        <v>16</v>
      </c>
      <c r="B10" s="0" t="s">
        <v>3047</v>
      </c>
      <c r="C10" s="0" t="s">
        <v>3048</v>
      </c>
      <c r="D10" s="0" t="s">
        <v>3065</v>
      </c>
      <c r="E10" s="0" t="s">
        <v>3066</v>
      </c>
      <c r="F10" s="0" t="s">
        <v>3051</v>
      </c>
      <c r="G10" s="0" t="s">
        <v>136</v>
      </c>
    </row>
    <row customHeight="1" ht="11.25">
      <c r="A11" s="0" t="s">
        <v>16</v>
      </c>
      <c r="B11" s="0" t="s">
        <v>3047</v>
      </c>
      <c r="C11" s="0" t="s">
        <v>3048</v>
      </c>
      <c r="D11" s="0" t="s">
        <v>3067</v>
      </c>
      <c r="E11" s="0" t="s">
        <v>3068</v>
      </c>
      <c r="F11" s="0" t="s">
        <v>3051</v>
      </c>
      <c r="G11" s="0" t="s">
        <v>141</v>
      </c>
    </row>
    <row customHeight="1" ht="11.25">
      <c r="A12" s="0" t="s">
        <v>16</v>
      </c>
      <c r="B12" s="0" t="s">
        <v>3047</v>
      </c>
      <c r="C12" s="0" t="s">
        <v>3048</v>
      </c>
      <c r="D12" s="0" t="s">
        <v>3069</v>
      </c>
      <c r="E12" s="0" t="s">
        <v>3070</v>
      </c>
      <c r="F12" s="0" t="s">
        <v>3051</v>
      </c>
      <c r="G12" s="0" t="s">
        <v>146</v>
      </c>
    </row>
    <row customHeight="1" ht="11.25">
      <c r="A13" s="0" t="s">
        <v>16</v>
      </c>
      <c r="B13" s="0" t="s">
        <v>3047</v>
      </c>
      <c r="C13" s="0" t="s">
        <v>3048</v>
      </c>
      <c r="D13" s="0" t="s">
        <v>3071</v>
      </c>
      <c r="E13" s="0" t="s">
        <v>3072</v>
      </c>
      <c r="F13" s="0" t="s">
        <v>3051</v>
      </c>
      <c r="G13" s="0" t="s">
        <v>151</v>
      </c>
    </row>
    <row customHeight="1" ht="11.25">
      <c r="A14" s="0" t="s">
        <v>16</v>
      </c>
      <c r="B14" s="0" t="s">
        <v>3047</v>
      </c>
      <c r="C14" s="0" t="s">
        <v>3048</v>
      </c>
      <c r="D14" s="0" t="s">
        <v>3073</v>
      </c>
      <c r="E14" s="0" t="s">
        <v>3074</v>
      </c>
      <c r="F14" s="0" t="s">
        <v>3051</v>
      </c>
      <c r="G14" s="0" t="s">
        <v>156</v>
      </c>
    </row>
    <row customHeight="1" ht="11.25">
      <c r="A15" s="0" t="s">
        <v>16</v>
      </c>
      <c r="B15" s="0" t="s">
        <v>3047</v>
      </c>
      <c r="C15" s="0" t="s">
        <v>3048</v>
      </c>
      <c r="D15" s="0" t="s">
        <v>3075</v>
      </c>
      <c r="E15" s="0" t="s">
        <v>3076</v>
      </c>
      <c r="F15" s="0" t="s">
        <v>3051</v>
      </c>
      <c r="G15" s="0" t="s">
        <v>161</v>
      </c>
    </row>
    <row customHeight="1" ht="11.25">
      <c r="A16" s="0" t="s">
        <v>16</v>
      </c>
      <c r="B16" s="0" t="s">
        <v>3047</v>
      </c>
      <c r="C16" s="0" t="s">
        <v>3048</v>
      </c>
      <c r="D16" s="0" t="s">
        <v>3077</v>
      </c>
      <c r="E16" s="0" t="s">
        <v>3078</v>
      </c>
      <c r="F16" s="0" t="s">
        <v>3051</v>
      </c>
      <c r="G16" s="0" t="s">
        <v>166</v>
      </c>
    </row>
    <row customHeight="1" ht="11.25">
      <c r="A17" s="0" t="s">
        <v>16</v>
      </c>
      <c r="B17" s="0" t="s">
        <v>3079</v>
      </c>
      <c r="C17" s="0" t="s">
        <v>3080</v>
      </c>
      <c r="D17" s="0" t="s">
        <v>3079</v>
      </c>
      <c r="E17" s="0" t="s">
        <v>3080</v>
      </c>
      <c r="F17" s="0" t="s">
        <v>3052</v>
      </c>
      <c r="G17" s="0" t="s">
        <v>171</v>
      </c>
    </row>
    <row customHeight="1" ht="11.25">
      <c r="A18" s="0" t="s">
        <v>16</v>
      </c>
      <c r="B18" s="0" t="s">
        <v>3079</v>
      </c>
      <c r="C18" s="0" t="s">
        <v>3080</v>
      </c>
      <c r="D18" s="0" t="s">
        <v>3081</v>
      </c>
      <c r="E18" s="0" t="s">
        <v>3082</v>
      </c>
      <c r="F18" s="0" t="s">
        <v>3051</v>
      </c>
      <c r="G18" s="0" t="s">
        <v>176</v>
      </c>
    </row>
    <row customHeight="1" ht="11.25">
      <c r="A19" s="0" t="s">
        <v>16</v>
      </c>
      <c r="B19" s="0" t="s">
        <v>3079</v>
      </c>
      <c r="C19" s="0" t="s">
        <v>3080</v>
      </c>
      <c r="D19" s="0" t="s">
        <v>3083</v>
      </c>
      <c r="E19" s="0" t="s">
        <v>3084</v>
      </c>
      <c r="F19" s="0" t="s">
        <v>3051</v>
      </c>
      <c r="G19" s="0" t="s">
        <v>1627</v>
      </c>
    </row>
    <row customHeight="1" ht="11.25">
      <c r="A20" s="0" t="s">
        <v>16</v>
      </c>
      <c r="B20" s="0" t="s">
        <v>3079</v>
      </c>
      <c r="C20" s="0" t="s">
        <v>3080</v>
      </c>
      <c r="D20" s="0" t="s">
        <v>3085</v>
      </c>
      <c r="E20" s="0" t="s">
        <v>3086</v>
      </c>
      <c r="F20" s="0" t="s">
        <v>3051</v>
      </c>
      <c r="G20" s="0" t="s">
        <v>1639</v>
      </c>
    </row>
    <row customHeight="1" ht="11.25">
      <c r="A21" s="0" t="s">
        <v>16</v>
      </c>
      <c r="B21" s="0" t="s">
        <v>3079</v>
      </c>
      <c r="C21" s="0" t="s">
        <v>3080</v>
      </c>
      <c r="D21" s="0" t="s">
        <v>3087</v>
      </c>
      <c r="E21" s="0" t="s">
        <v>3088</v>
      </c>
      <c r="F21" s="0" t="s">
        <v>3051</v>
      </c>
      <c r="G21" s="0" t="s">
        <v>1648</v>
      </c>
    </row>
    <row customHeight="1" ht="11.25">
      <c r="A22" s="0" t="s">
        <v>16</v>
      </c>
      <c r="B22" s="0" t="s">
        <v>3079</v>
      </c>
      <c r="C22" s="0" t="s">
        <v>3080</v>
      </c>
      <c r="D22" s="0" t="s">
        <v>3089</v>
      </c>
      <c r="E22" s="0" t="s">
        <v>3090</v>
      </c>
      <c r="F22" s="0" t="s">
        <v>3051</v>
      </c>
      <c r="G22" s="0" t="s">
        <v>1664</v>
      </c>
    </row>
    <row customHeight="1" ht="11.25">
      <c r="A23" s="0" t="s">
        <v>16</v>
      </c>
      <c r="B23" s="0" t="s">
        <v>3079</v>
      </c>
      <c r="C23" s="0" t="s">
        <v>3080</v>
      </c>
      <c r="D23" s="0" t="s">
        <v>3091</v>
      </c>
      <c r="E23" s="0" t="s">
        <v>3092</v>
      </c>
      <c r="F23" s="0" t="s">
        <v>3051</v>
      </c>
      <c r="G23" s="0" t="s">
        <v>1671</v>
      </c>
    </row>
    <row customHeight="1" ht="11.25">
      <c r="A24" s="0" t="s">
        <v>16</v>
      </c>
      <c r="B24" s="0" t="s">
        <v>3079</v>
      </c>
      <c r="C24" s="0" t="s">
        <v>3080</v>
      </c>
      <c r="D24" s="0" t="s">
        <v>3093</v>
      </c>
      <c r="E24" s="0" t="s">
        <v>3094</v>
      </c>
      <c r="F24" s="0" t="s">
        <v>3051</v>
      </c>
      <c r="G24" s="0" t="s">
        <v>1679</v>
      </c>
    </row>
    <row customHeight="1" ht="11.25">
      <c r="A25" s="0" t="s">
        <v>16</v>
      </c>
      <c r="B25" s="0" t="s">
        <v>3095</v>
      </c>
      <c r="C25" s="0" t="s">
        <v>3096</v>
      </c>
      <c r="D25" s="0" t="s">
        <v>3097</v>
      </c>
      <c r="E25" s="0" t="s">
        <v>3098</v>
      </c>
      <c r="F25" s="0" t="s">
        <v>3051</v>
      </c>
      <c r="G25" s="0" t="s">
        <v>1686</v>
      </c>
    </row>
    <row customHeight="1" ht="11.25">
      <c r="A26" s="0" t="s">
        <v>16</v>
      </c>
      <c r="B26" s="0" t="s">
        <v>3095</v>
      </c>
      <c r="C26" s="0" t="s">
        <v>3096</v>
      </c>
      <c r="D26" s="0" t="s">
        <v>3099</v>
      </c>
      <c r="E26" s="0" t="s">
        <v>3100</v>
      </c>
      <c r="F26" s="0" t="s">
        <v>3051</v>
      </c>
      <c r="G26" s="0" t="s">
        <v>1690</v>
      </c>
    </row>
    <row customHeight="1" ht="11.25">
      <c r="A27" s="0" t="s">
        <v>16</v>
      </c>
      <c r="B27" s="0" t="s">
        <v>3095</v>
      </c>
      <c r="C27" s="0" t="s">
        <v>3096</v>
      </c>
      <c r="D27" s="0" t="s">
        <v>3095</v>
      </c>
      <c r="E27" s="0" t="s">
        <v>3096</v>
      </c>
      <c r="F27" s="0" t="s">
        <v>3052</v>
      </c>
      <c r="G27" s="0" t="s">
        <v>1695</v>
      </c>
    </row>
    <row customHeight="1" ht="11.25">
      <c r="A28" s="0" t="s">
        <v>16</v>
      </c>
      <c r="B28" s="0" t="s">
        <v>3095</v>
      </c>
      <c r="C28" s="0" t="s">
        <v>3096</v>
      </c>
      <c r="D28" s="0" t="s">
        <v>3101</v>
      </c>
      <c r="E28" s="0" t="s">
        <v>3102</v>
      </c>
      <c r="F28" s="0" t="s">
        <v>3051</v>
      </c>
      <c r="G28" s="0" t="s">
        <v>1703</v>
      </c>
    </row>
    <row customHeight="1" ht="11.25">
      <c r="A29" s="0" t="s">
        <v>16</v>
      </c>
      <c r="B29" s="0" t="s">
        <v>3095</v>
      </c>
      <c r="C29" s="0" t="s">
        <v>3096</v>
      </c>
      <c r="D29" s="0" t="s">
        <v>3103</v>
      </c>
      <c r="E29" s="0" t="s">
        <v>3104</v>
      </c>
      <c r="F29" s="0" t="s">
        <v>3051</v>
      </c>
      <c r="G29" s="0" t="s">
        <v>1705</v>
      </c>
    </row>
    <row customHeight="1" ht="11.25">
      <c r="A30" s="0" t="s">
        <v>16</v>
      </c>
      <c r="B30" s="0" t="s">
        <v>3095</v>
      </c>
      <c r="C30" s="0" t="s">
        <v>3096</v>
      </c>
      <c r="D30" s="0" t="s">
        <v>3105</v>
      </c>
      <c r="E30" s="0" t="s">
        <v>3106</v>
      </c>
      <c r="F30" s="0" t="s">
        <v>3051</v>
      </c>
      <c r="G30" s="0" t="s">
        <v>1708</v>
      </c>
    </row>
    <row customHeight="1" ht="11.25">
      <c r="A31" s="0" t="s">
        <v>16</v>
      </c>
      <c r="B31" s="0" t="s">
        <v>3095</v>
      </c>
      <c r="C31" s="0" t="s">
        <v>3096</v>
      </c>
      <c r="D31" s="0" t="s">
        <v>3107</v>
      </c>
      <c r="E31" s="0" t="s">
        <v>3108</v>
      </c>
      <c r="F31" s="0" t="s">
        <v>3051</v>
      </c>
      <c r="G31" s="0" t="s">
        <v>1713</v>
      </c>
    </row>
    <row customHeight="1" ht="11.25">
      <c r="A32" s="0" t="s">
        <v>16</v>
      </c>
      <c r="B32" s="0" t="s">
        <v>3095</v>
      </c>
      <c r="C32" s="0" t="s">
        <v>3096</v>
      </c>
      <c r="D32" s="0" t="s">
        <v>3109</v>
      </c>
      <c r="E32" s="0" t="s">
        <v>3110</v>
      </c>
      <c r="F32" s="0" t="s">
        <v>3051</v>
      </c>
      <c r="G32" s="0" t="s">
        <v>1714</v>
      </c>
    </row>
    <row customHeight="1" ht="11.25">
      <c r="A33" s="0" t="s">
        <v>16</v>
      </c>
      <c r="B33" s="0" t="s">
        <v>3095</v>
      </c>
      <c r="C33" s="0" t="s">
        <v>3096</v>
      </c>
      <c r="D33" s="0" t="s">
        <v>3111</v>
      </c>
      <c r="E33" s="0" t="s">
        <v>3112</v>
      </c>
      <c r="F33" s="0" t="s">
        <v>3051</v>
      </c>
      <c r="G33" s="0" t="s">
        <v>1716</v>
      </c>
    </row>
    <row customHeight="1" ht="11.25">
      <c r="A34" s="0" t="s">
        <v>16</v>
      </c>
      <c r="B34" s="0" t="s">
        <v>3095</v>
      </c>
      <c r="C34" s="0" t="s">
        <v>3096</v>
      </c>
      <c r="D34" s="0" t="s">
        <v>3113</v>
      </c>
      <c r="E34" s="0" t="s">
        <v>3114</v>
      </c>
      <c r="F34" s="0" t="s">
        <v>3051</v>
      </c>
      <c r="G34" s="0" t="s">
        <v>1718</v>
      </c>
    </row>
    <row customHeight="1" ht="11.25">
      <c r="A35" s="0" t="s">
        <v>16</v>
      </c>
      <c r="B35" s="0" t="s">
        <v>3095</v>
      </c>
      <c r="C35" s="0" t="s">
        <v>3096</v>
      </c>
      <c r="D35" s="0" t="s">
        <v>3115</v>
      </c>
      <c r="E35" s="0" t="s">
        <v>3116</v>
      </c>
      <c r="F35" s="0" t="s">
        <v>3051</v>
      </c>
      <c r="G35" s="0" t="s">
        <v>1723</v>
      </c>
    </row>
    <row customHeight="1" ht="11.25">
      <c r="A36" s="0" t="s">
        <v>16</v>
      </c>
      <c r="B36" s="0" t="s">
        <v>3095</v>
      </c>
      <c r="C36" s="0" t="s">
        <v>3096</v>
      </c>
      <c r="D36" s="0" t="s">
        <v>3117</v>
      </c>
      <c r="E36" s="0" t="s">
        <v>3118</v>
      </c>
      <c r="F36" s="0" t="s">
        <v>3051</v>
      </c>
      <c r="G36" s="0" t="s">
        <v>1728</v>
      </c>
    </row>
    <row customHeight="1" ht="11.25">
      <c r="A37" s="0" t="s">
        <v>16</v>
      </c>
      <c r="B37" s="0" t="s">
        <v>3095</v>
      </c>
      <c r="C37" s="0" t="s">
        <v>3096</v>
      </c>
      <c r="D37" s="0" t="s">
        <v>3119</v>
      </c>
      <c r="E37" s="0" t="s">
        <v>3120</v>
      </c>
      <c r="F37" s="0" t="s">
        <v>3121</v>
      </c>
      <c r="G37" s="0" t="s">
        <v>1732</v>
      </c>
    </row>
    <row customHeight="1" ht="11.25">
      <c r="A38" s="0" t="s">
        <v>16</v>
      </c>
      <c r="B38" s="0" t="s">
        <v>3095</v>
      </c>
      <c r="C38" s="0" t="s">
        <v>3096</v>
      </c>
      <c r="D38" s="0" t="s">
        <v>3122</v>
      </c>
      <c r="E38" s="0" t="s">
        <v>3123</v>
      </c>
      <c r="F38" s="0" t="s">
        <v>3121</v>
      </c>
      <c r="G38" s="0" t="s">
        <v>1740</v>
      </c>
    </row>
    <row customHeight="1" ht="11.25">
      <c r="A39" s="0" t="s">
        <v>16</v>
      </c>
      <c r="B39" s="0" t="s">
        <v>3124</v>
      </c>
      <c r="C39" s="0" t="s">
        <v>3125</v>
      </c>
      <c r="D39" s="0" t="s">
        <v>3126</v>
      </c>
      <c r="E39" s="0" t="s">
        <v>3127</v>
      </c>
      <c r="F39" s="0" t="s">
        <v>3051</v>
      </c>
      <c r="G39" s="0" t="s">
        <v>1746</v>
      </c>
    </row>
    <row customHeight="1" ht="11.25">
      <c r="A40" s="0" t="s">
        <v>16</v>
      </c>
      <c r="B40" s="0" t="s">
        <v>3124</v>
      </c>
      <c r="C40" s="0" t="s">
        <v>3125</v>
      </c>
      <c r="D40" s="0" t="s">
        <v>3128</v>
      </c>
      <c r="E40" s="0" t="s">
        <v>3129</v>
      </c>
      <c r="F40" s="0" t="s">
        <v>3051</v>
      </c>
      <c r="G40" s="0" t="s">
        <v>1751</v>
      </c>
    </row>
    <row customHeight="1" ht="11.25">
      <c r="A41" s="0" t="s">
        <v>16</v>
      </c>
      <c r="B41" s="0" t="s">
        <v>3124</v>
      </c>
      <c r="C41" s="0" t="s">
        <v>3125</v>
      </c>
      <c r="D41" s="0" t="s">
        <v>3124</v>
      </c>
      <c r="E41" s="0" t="s">
        <v>3125</v>
      </c>
      <c r="F41" s="0" t="s">
        <v>3052</v>
      </c>
      <c r="G41" s="0" t="s">
        <v>1755</v>
      </c>
    </row>
    <row customHeight="1" ht="11.25">
      <c r="A42" s="0" t="s">
        <v>16</v>
      </c>
      <c r="B42" s="0" t="s">
        <v>3124</v>
      </c>
      <c r="C42" s="0" t="s">
        <v>3125</v>
      </c>
      <c r="D42" s="0" t="s">
        <v>3130</v>
      </c>
      <c r="E42" s="0" t="s">
        <v>3131</v>
      </c>
      <c r="F42" s="0" t="s">
        <v>3051</v>
      </c>
      <c r="G42" s="0" t="s">
        <v>1758</v>
      </c>
    </row>
    <row customHeight="1" ht="11.25">
      <c r="A43" s="0" t="s">
        <v>16</v>
      </c>
      <c r="B43" s="0" t="s">
        <v>3124</v>
      </c>
      <c r="C43" s="0" t="s">
        <v>3125</v>
      </c>
      <c r="D43" s="0" t="s">
        <v>3132</v>
      </c>
      <c r="E43" s="0" t="s">
        <v>3133</v>
      </c>
      <c r="F43" s="0" t="s">
        <v>3051</v>
      </c>
      <c r="G43" s="0" t="s">
        <v>1765</v>
      </c>
    </row>
    <row customHeight="1" ht="11.25">
      <c r="A44" s="0" t="s">
        <v>16</v>
      </c>
      <c r="B44" s="0" t="s">
        <v>3124</v>
      </c>
      <c r="C44" s="0" t="s">
        <v>3125</v>
      </c>
      <c r="D44" s="0" t="s">
        <v>3134</v>
      </c>
      <c r="E44" s="0" t="s">
        <v>3135</v>
      </c>
      <c r="F44" s="0" t="s">
        <v>3051</v>
      </c>
      <c r="G44" s="0" t="s">
        <v>1774</v>
      </c>
    </row>
    <row customHeight="1" ht="11.25">
      <c r="A45" s="0" t="s">
        <v>16</v>
      </c>
      <c r="B45" s="0" t="s">
        <v>3124</v>
      </c>
      <c r="C45" s="0" t="s">
        <v>3125</v>
      </c>
      <c r="D45" s="0" t="s">
        <v>3136</v>
      </c>
      <c r="E45" s="0" t="s">
        <v>3137</v>
      </c>
      <c r="F45" s="0" t="s">
        <v>3051</v>
      </c>
      <c r="G45" s="0" t="s">
        <v>1779</v>
      </c>
    </row>
    <row customHeight="1" ht="11.25">
      <c r="A46" s="0" t="s">
        <v>16</v>
      </c>
      <c r="B46" s="0" t="s">
        <v>3124</v>
      </c>
      <c r="C46" s="0" t="s">
        <v>3125</v>
      </c>
      <c r="D46" s="0" t="s">
        <v>3138</v>
      </c>
      <c r="E46" s="0" t="s">
        <v>3139</v>
      </c>
      <c r="F46" s="0" t="s">
        <v>3051</v>
      </c>
      <c r="G46" s="0" t="s">
        <v>1783</v>
      </c>
    </row>
    <row customHeight="1" ht="11.25">
      <c r="A47" s="0" t="s">
        <v>16</v>
      </c>
      <c r="B47" s="0" t="s">
        <v>3124</v>
      </c>
      <c r="C47" s="0" t="s">
        <v>3125</v>
      </c>
      <c r="D47" s="0" t="s">
        <v>3140</v>
      </c>
      <c r="E47" s="0" t="s">
        <v>3141</v>
      </c>
      <c r="F47" s="0" t="s">
        <v>3051</v>
      </c>
      <c r="G47" s="0" t="s">
        <v>1789</v>
      </c>
    </row>
    <row customHeight="1" ht="11.25">
      <c r="A48" s="0" t="s">
        <v>16</v>
      </c>
      <c r="B48" s="0" t="s">
        <v>3124</v>
      </c>
      <c r="C48" s="0" t="s">
        <v>3125</v>
      </c>
      <c r="D48" s="0" t="s">
        <v>3142</v>
      </c>
      <c r="E48" s="0" t="s">
        <v>3143</v>
      </c>
      <c r="F48" s="0" t="s">
        <v>3051</v>
      </c>
      <c r="G48" s="0" t="s">
        <v>1794</v>
      </c>
    </row>
    <row customHeight="1" ht="11.25">
      <c r="A49" s="0" t="s">
        <v>16</v>
      </c>
      <c r="B49" s="0" t="s">
        <v>3124</v>
      </c>
      <c r="C49" s="0" t="s">
        <v>3125</v>
      </c>
      <c r="D49" s="0" t="s">
        <v>3144</v>
      </c>
      <c r="E49" s="0" t="s">
        <v>3145</v>
      </c>
      <c r="F49" s="0" t="s">
        <v>3051</v>
      </c>
      <c r="G49" s="0" t="s">
        <v>1797</v>
      </c>
    </row>
    <row customHeight="1" ht="11.25">
      <c r="A50" s="0" t="s">
        <v>16</v>
      </c>
      <c r="B50" s="0" t="s">
        <v>3124</v>
      </c>
      <c r="C50" s="0" t="s">
        <v>3125</v>
      </c>
      <c r="D50" s="0" t="s">
        <v>3146</v>
      </c>
      <c r="E50" s="0" t="s">
        <v>3147</v>
      </c>
      <c r="F50" s="0" t="s">
        <v>3051</v>
      </c>
      <c r="G50" s="0" t="s">
        <v>1800</v>
      </c>
    </row>
    <row customHeight="1" ht="11.25">
      <c r="A51" s="0" t="s">
        <v>16</v>
      </c>
      <c r="B51" s="0" t="s">
        <v>3124</v>
      </c>
      <c r="C51" s="0" t="s">
        <v>3125</v>
      </c>
      <c r="D51" s="0" t="s">
        <v>3148</v>
      </c>
      <c r="E51" s="0" t="s">
        <v>3149</v>
      </c>
      <c r="F51" s="0" t="s">
        <v>3051</v>
      </c>
      <c r="G51" s="0" t="s">
        <v>1805</v>
      </c>
    </row>
    <row customHeight="1" ht="11.25">
      <c r="A52" s="0" t="s">
        <v>16</v>
      </c>
      <c r="B52" s="0" t="s">
        <v>3124</v>
      </c>
      <c r="C52" s="0" t="s">
        <v>3125</v>
      </c>
      <c r="D52" s="0" t="s">
        <v>3150</v>
      </c>
      <c r="E52" s="0" t="s">
        <v>3151</v>
      </c>
      <c r="F52" s="0" t="s">
        <v>3051</v>
      </c>
      <c r="G52" s="0" t="s">
        <v>1809</v>
      </c>
    </row>
    <row customHeight="1" ht="11.25">
      <c r="A53" s="0" t="s">
        <v>16</v>
      </c>
      <c r="B53" s="0" t="s">
        <v>3124</v>
      </c>
      <c r="C53" s="0" t="s">
        <v>3125</v>
      </c>
      <c r="D53" s="0" t="s">
        <v>3152</v>
      </c>
      <c r="E53" s="0" t="s">
        <v>3153</v>
      </c>
      <c r="F53" s="0" t="s">
        <v>3051</v>
      </c>
      <c r="G53" s="0" t="s">
        <v>1811</v>
      </c>
    </row>
    <row customHeight="1" ht="11.25">
      <c r="A54" s="0" t="s">
        <v>16</v>
      </c>
      <c r="B54" s="0" t="s">
        <v>3124</v>
      </c>
      <c r="C54" s="0" t="s">
        <v>3125</v>
      </c>
      <c r="D54" s="0" t="s">
        <v>3154</v>
      </c>
      <c r="E54" s="0" t="s">
        <v>3155</v>
      </c>
      <c r="F54" s="0" t="s">
        <v>3121</v>
      </c>
      <c r="G54" s="0" t="s">
        <v>1814</v>
      </c>
    </row>
    <row customHeight="1" ht="11.25">
      <c r="A55" s="0" t="s">
        <v>16</v>
      </c>
      <c r="B55" s="0" t="s">
        <v>3156</v>
      </c>
      <c r="C55" s="0" t="s">
        <v>3157</v>
      </c>
      <c r="D55" s="0" t="s">
        <v>3158</v>
      </c>
      <c r="E55" s="0" t="s">
        <v>3159</v>
      </c>
      <c r="F55" s="0" t="s">
        <v>3051</v>
      </c>
      <c r="G55" s="0" t="s">
        <v>1819</v>
      </c>
    </row>
    <row customHeight="1" ht="11.25">
      <c r="A56" s="0" t="s">
        <v>16</v>
      </c>
      <c r="B56" s="0" t="s">
        <v>3156</v>
      </c>
      <c r="C56" s="0" t="s">
        <v>3157</v>
      </c>
      <c r="D56" s="0" t="s">
        <v>3156</v>
      </c>
      <c r="E56" s="0" t="s">
        <v>3157</v>
      </c>
      <c r="F56" s="0" t="s">
        <v>3052</v>
      </c>
      <c r="G56" s="0" t="s">
        <v>1822</v>
      </c>
    </row>
    <row customHeight="1" ht="11.25">
      <c r="A57" s="0" t="s">
        <v>16</v>
      </c>
      <c r="B57" s="0" t="s">
        <v>3156</v>
      </c>
      <c r="C57" s="0" t="s">
        <v>3157</v>
      </c>
      <c r="D57" s="0" t="s">
        <v>3160</v>
      </c>
      <c r="E57" s="0" t="s">
        <v>3161</v>
      </c>
      <c r="F57" s="0" t="s">
        <v>3051</v>
      </c>
      <c r="G57" s="0" t="s">
        <v>1825</v>
      </c>
    </row>
    <row customHeight="1" ht="11.25">
      <c r="A58" s="0" t="s">
        <v>16</v>
      </c>
      <c r="B58" s="0" t="s">
        <v>3156</v>
      </c>
      <c r="C58" s="0" t="s">
        <v>3157</v>
      </c>
      <c r="D58" s="0" t="s">
        <v>3162</v>
      </c>
      <c r="E58" s="0" t="s">
        <v>3163</v>
      </c>
      <c r="F58" s="0" t="s">
        <v>3051</v>
      </c>
      <c r="G58" s="0" t="s">
        <v>1828</v>
      </c>
    </row>
    <row customHeight="1" ht="11.25">
      <c r="A59" s="0" t="s">
        <v>16</v>
      </c>
      <c r="B59" s="0" t="s">
        <v>3156</v>
      </c>
      <c r="C59" s="0" t="s">
        <v>3157</v>
      </c>
      <c r="D59" s="0" t="s">
        <v>3164</v>
      </c>
      <c r="E59" s="0" t="s">
        <v>3165</v>
      </c>
      <c r="F59" s="0" t="s">
        <v>3051</v>
      </c>
      <c r="G59" s="0" t="s">
        <v>1832</v>
      </c>
    </row>
    <row customHeight="1" ht="11.25">
      <c r="A60" s="0" t="s">
        <v>16</v>
      </c>
      <c r="B60" s="0" t="s">
        <v>3156</v>
      </c>
      <c r="C60" s="0" t="s">
        <v>3157</v>
      </c>
      <c r="D60" s="0" t="s">
        <v>3166</v>
      </c>
      <c r="E60" s="0" t="s">
        <v>3167</v>
      </c>
      <c r="F60" s="0" t="s">
        <v>3051</v>
      </c>
      <c r="G60" s="0" t="s">
        <v>1835</v>
      </c>
    </row>
    <row customHeight="1" ht="11.25">
      <c r="A61" s="0" t="s">
        <v>16</v>
      </c>
      <c r="B61" s="0" t="s">
        <v>3156</v>
      </c>
      <c r="C61" s="0" t="s">
        <v>3157</v>
      </c>
      <c r="D61" s="0" t="s">
        <v>3168</v>
      </c>
      <c r="E61" s="0" t="s">
        <v>3169</v>
      </c>
      <c r="F61" s="0" t="s">
        <v>3051</v>
      </c>
      <c r="G61" s="0" t="s">
        <v>3170</v>
      </c>
    </row>
    <row customHeight="1" ht="11.25">
      <c r="A62" s="0" t="s">
        <v>16</v>
      </c>
      <c r="B62" s="0" t="s">
        <v>3156</v>
      </c>
      <c r="C62" s="0" t="s">
        <v>3157</v>
      </c>
      <c r="D62" s="0" t="s">
        <v>3171</v>
      </c>
      <c r="E62" s="0" t="s">
        <v>3172</v>
      </c>
      <c r="F62" s="0" t="s">
        <v>3051</v>
      </c>
      <c r="G62" s="0" t="s">
        <v>3173</v>
      </c>
    </row>
    <row customHeight="1" ht="11.25">
      <c r="A63" s="0" t="s">
        <v>16</v>
      </c>
      <c r="B63" s="0" t="s">
        <v>3156</v>
      </c>
      <c r="C63" s="0" t="s">
        <v>3157</v>
      </c>
      <c r="D63" s="0" t="s">
        <v>3174</v>
      </c>
      <c r="E63" s="0" t="s">
        <v>3175</v>
      </c>
      <c r="F63" s="0" t="s">
        <v>3176</v>
      </c>
      <c r="G63" s="0" t="s">
        <v>3177</v>
      </c>
    </row>
    <row customHeight="1" ht="11.25">
      <c r="A64" s="0" t="s">
        <v>16</v>
      </c>
      <c r="B64" s="0" t="s">
        <v>3178</v>
      </c>
      <c r="C64" s="0" t="s">
        <v>3179</v>
      </c>
      <c r="D64" s="0" t="s">
        <v>3180</v>
      </c>
      <c r="E64" s="0" t="s">
        <v>3181</v>
      </c>
      <c r="F64" s="0" t="s">
        <v>3051</v>
      </c>
      <c r="G64" s="0" t="s">
        <v>3182</v>
      </c>
    </row>
    <row customHeight="1" ht="11.25">
      <c r="A65" s="0" t="s">
        <v>16</v>
      </c>
      <c r="B65" s="0" t="s">
        <v>3178</v>
      </c>
      <c r="C65" s="0" t="s">
        <v>3179</v>
      </c>
      <c r="D65" s="0" t="s">
        <v>3183</v>
      </c>
      <c r="E65" s="0" t="s">
        <v>3184</v>
      </c>
      <c r="F65" s="0" t="s">
        <v>3051</v>
      </c>
      <c r="G65" s="0" t="s">
        <v>3185</v>
      </c>
    </row>
    <row customHeight="1" ht="11.25">
      <c r="A66" s="0" t="s">
        <v>16</v>
      </c>
      <c r="B66" s="0" t="s">
        <v>3178</v>
      </c>
      <c r="C66" s="0" t="s">
        <v>3179</v>
      </c>
      <c r="D66" s="0" t="s">
        <v>3186</v>
      </c>
      <c r="E66" s="0" t="s">
        <v>3187</v>
      </c>
      <c r="F66" s="0" t="s">
        <v>3051</v>
      </c>
      <c r="G66" s="0" t="s">
        <v>3188</v>
      </c>
    </row>
    <row customHeight="1" ht="11.25">
      <c r="A67" s="0" t="s">
        <v>16</v>
      </c>
      <c r="B67" s="0" t="s">
        <v>3178</v>
      </c>
      <c r="C67" s="0" t="s">
        <v>3179</v>
      </c>
      <c r="D67" s="0" t="s">
        <v>3189</v>
      </c>
      <c r="E67" s="0" t="s">
        <v>3190</v>
      </c>
      <c r="F67" s="0" t="s">
        <v>3051</v>
      </c>
      <c r="G67" s="0" t="s">
        <v>2154</v>
      </c>
    </row>
    <row customHeight="1" ht="11.25">
      <c r="A68" s="0" t="s">
        <v>16</v>
      </c>
      <c r="B68" s="0" t="s">
        <v>3178</v>
      </c>
      <c r="C68" s="0" t="s">
        <v>3179</v>
      </c>
      <c r="D68" s="0" t="s">
        <v>3178</v>
      </c>
      <c r="E68" s="0" t="s">
        <v>3179</v>
      </c>
      <c r="F68" s="0" t="s">
        <v>3052</v>
      </c>
      <c r="G68" s="0" t="s">
        <v>3191</v>
      </c>
    </row>
    <row customHeight="1" ht="11.25">
      <c r="A69" s="0" t="s">
        <v>16</v>
      </c>
      <c r="B69" s="0" t="s">
        <v>3178</v>
      </c>
      <c r="C69" s="0" t="s">
        <v>3179</v>
      </c>
      <c r="D69" s="0" t="s">
        <v>3192</v>
      </c>
      <c r="E69" s="0" t="s">
        <v>3193</v>
      </c>
      <c r="F69" s="0" t="s">
        <v>3051</v>
      </c>
      <c r="G69" s="0" t="s">
        <v>2357</v>
      </c>
    </row>
    <row customHeight="1" ht="11.25">
      <c r="A70" s="0" t="s">
        <v>16</v>
      </c>
      <c r="B70" s="0" t="s">
        <v>3178</v>
      </c>
      <c r="C70" s="0" t="s">
        <v>3179</v>
      </c>
      <c r="D70" s="0" t="s">
        <v>3194</v>
      </c>
      <c r="E70" s="0" t="s">
        <v>3195</v>
      </c>
      <c r="F70" s="0" t="s">
        <v>3051</v>
      </c>
      <c r="G70" s="0" t="s">
        <v>3196</v>
      </c>
    </row>
    <row customHeight="1" ht="11.25">
      <c r="A71" s="0" t="s">
        <v>16</v>
      </c>
      <c r="B71" s="0" t="s">
        <v>3178</v>
      </c>
      <c r="C71" s="0" t="s">
        <v>3179</v>
      </c>
      <c r="D71" s="0" t="s">
        <v>3197</v>
      </c>
      <c r="E71" s="0" t="s">
        <v>3198</v>
      </c>
      <c r="F71" s="0" t="s">
        <v>3051</v>
      </c>
      <c r="G71" s="0" t="s">
        <v>3199</v>
      </c>
    </row>
    <row customHeight="1" ht="11.25">
      <c r="A72" s="0" t="s">
        <v>16</v>
      </c>
      <c r="B72" s="0" t="s">
        <v>3178</v>
      </c>
      <c r="C72" s="0" t="s">
        <v>3179</v>
      </c>
      <c r="D72" s="0" t="s">
        <v>3200</v>
      </c>
      <c r="E72" s="0" t="s">
        <v>3201</v>
      </c>
      <c r="F72" s="0" t="s">
        <v>3051</v>
      </c>
      <c r="G72" s="0" t="s">
        <v>3202</v>
      </c>
    </row>
    <row customHeight="1" ht="11.25">
      <c r="A73" s="0" t="s">
        <v>16</v>
      </c>
      <c r="B73" s="0" t="s">
        <v>3178</v>
      </c>
      <c r="C73" s="0" t="s">
        <v>3179</v>
      </c>
      <c r="D73" s="0" t="s">
        <v>3203</v>
      </c>
      <c r="E73" s="0" t="s">
        <v>3204</v>
      </c>
      <c r="F73" s="0" t="s">
        <v>3051</v>
      </c>
      <c r="G73" s="0" t="s">
        <v>3205</v>
      </c>
    </row>
    <row customHeight="1" ht="11.25">
      <c r="A74" s="0" t="s">
        <v>16</v>
      </c>
      <c r="B74" s="0" t="s">
        <v>3178</v>
      </c>
      <c r="C74" s="0" t="s">
        <v>3179</v>
      </c>
      <c r="D74" s="0" t="s">
        <v>169</v>
      </c>
      <c r="E74" s="0" t="s">
        <v>3206</v>
      </c>
      <c r="F74" s="0" t="s">
        <v>3051</v>
      </c>
      <c r="G74" s="0" t="s">
        <v>3207</v>
      </c>
    </row>
    <row customHeight="1" ht="11.25">
      <c r="A75" s="0" t="s">
        <v>16</v>
      </c>
      <c r="B75" s="0" t="s">
        <v>3178</v>
      </c>
      <c r="C75" s="0" t="s">
        <v>3179</v>
      </c>
      <c r="D75" s="0" t="s">
        <v>3208</v>
      </c>
      <c r="E75" s="0" t="s">
        <v>3209</v>
      </c>
      <c r="F75" s="0" t="s">
        <v>3051</v>
      </c>
      <c r="G75" s="0" t="s">
        <v>3210</v>
      </c>
    </row>
    <row customHeight="1" ht="11.25">
      <c r="A76" s="0" t="s">
        <v>16</v>
      </c>
      <c r="B76" s="0" t="s">
        <v>3178</v>
      </c>
      <c r="C76" s="0" t="s">
        <v>3179</v>
      </c>
      <c r="D76" s="0" t="s">
        <v>3211</v>
      </c>
      <c r="E76" s="0" t="s">
        <v>3212</v>
      </c>
      <c r="F76" s="0" t="s">
        <v>3051</v>
      </c>
      <c r="G76" s="0" t="s">
        <v>3213</v>
      </c>
    </row>
    <row customHeight="1" ht="11.25">
      <c r="A77" s="0" t="s">
        <v>16</v>
      </c>
      <c r="B77" s="0" t="s">
        <v>3178</v>
      </c>
      <c r="C77" s="0" t="s">
        <v>3179</v>
      </c>
      <c r="D77" s="0" t="s">
        <v>3214</v>
      </c>
      <c r="E77" s="0" t="s">
        <v>3215</v>
      </c>
      <c r="F77" s="0" t="s">
        <v>3121</v>
      </c>
      <c r="G77" s="0" t="s">
        <v>3216</v>
      </c>
    </row>
    <row customHeight="1" ht="11.25">
      <c r="A78" s="0" t="s">
        <v>16</v>
      </c>
      <c r="B78" s="0" t="s">
        <v>3217</v>
      </c>
      <c r="C78" s="0" t="s">
        <v>3218</v>
      </c>
      <c r="D78" s="0" t="s">
        <v>3219</v>
      </c>
      <c r="E78" s="0" t="s">
        <v>3220</v>
      </c>
      <c r="F78" s="0" t="s">
        <v>3051</v>
      </c>
      <c r="G78" s="0" t="s">
        <v>3221</v>
      </c>
    </row>
    <row customHeight="1" ht="11.25">
      <c r="A79" s="0" t="s">
        <v>16</v>
      </c>
      <c r="B79" s="0" t="s">
        <v>3217</v>
      </c>
      <c r="C79" s="0" t="s">
        <v>3218</v>
      </c>
      <c r="D79" s="0" t="s">
        <v>3222</v>
      </c>
      <c r="E79" s="0" t="s">
        <v>3223</v>
      </c>
      <c r="F79" s="0" t="s">
        <v>3051</v>
      </c>
      <c r="G79" s="0" t="s">
        <v>3224</v>
      </c>
    </row>
    <row customHeight="1" ht="11.25">
      <c r="A80" s="0" t="s">
        <v>16</v>
      </c>
      <c r="B80" s="0" t="s">
        <v>3217</v>
      </c>
      <c r="C80" s="0" t="s">
        <v>3218</v>
      </c>
      <c r="D80" s="0" t="s">
        <v>3225</v>
      </c>
      <c r="E80" s="0" t="s">
        <v>3226</v>
      </c>
      <c r="F80" s="0" t="s">
        <v>3051</v>
      </c>
      <c r="G80" s="0" t="s">
        <v>3227</v>
      </c>
    </row>
    <row customHeight="1" ht="11.25">
      <c r="A81" s="0" t="s">
        <v>16</v>
      </c>
      <c r="B81" s="0" t="s">
        <v>3217</v>
      </c>
      <c r="C81" s="0" t="s">
        <v>3218</v>
      </c>
      <c r="D81" s="0" t="s">
        <v>3228</v>
      </c>
      <c r="E81" s="0" t="s">
        <v>3229</v>
      </c>
      <c r="F81" s="0" t="s">
        <v>3051</v>
      </c>
      <c r="G81" s="0" t="s">
        <v>3230</v>
      </c>
    </row>
    <row customHeight="1" ht="11.25">
      <c r="A82" s="0" t="s">
        <v>16</v>
      </c>
      <c r="B82" s="0" t="s">
        <v>3217</v>
      </c>
      <c r="C82" s="0" t="s">
        <v>3218</v>
      </c>
      <c r="D82" s="0" t="s">
        <v>3231</v>
      </c>
      <c r="E82" s="0" t="s">
        <v>3232</v>
      </c>
      <c r="F82" s="0" t="s">
        <v>3051</v>
      </c>
      <c r="G82" s="0" t="s">
        <v>3233</v>
      </c>
    </row>
    <row customHeight="1" ht="11.25">
      <c r="A83" s="0" t="s">
        <v>16</v>
      </c>
      <c r="B83" s="0" t="s">
        <v>3217</v>
      </c>
      <c r="C83" s="0" t="s">
        <v>3218</v>
      </c>
      <c r="D83" s="0" t="s">
        <v>3217</v>
      </c>
      <c r="E83" s="0" t="s">
        <v>3218</v>
      </c>
      <c r="F83" s="0" t="s">
        <v>3052</v>
      </c>
      <c r="G83" s="0" t="s">
        <v>3234</v>
      </c>
    </row>
    <row customHeight="1" ht="11.25">
      <c r="A84" s="0" t="s">
        <v>16</v>
      </c>
      <c r="B84" s="0" t="s">
        <v>3217</v>
      </c>
      <c r="C84" s="0" t="s">
        <v>3218</v>
      </c>
      <c r="D84" s="0" t="s">
        <v>3235</v>
      </c>
      <c r="E84" s="0" t="s">
        <v>3236</v>
      </c>
      <c r="F84" s="0" t="s">
        <v>3051</v>
      </c>
      <c r="G84" s="0" t="s">
        <v>3237</v>
      </c>
    </row>
    <row customHeight="1" ht="11.25">
      <c r="A85" s="0" t="s">
        <v>16</v>
      </c>
      <c r="B85" s="0" t="s">
        <v>3217</v>
      </c>
      <c r="C85" s="0" t="s">
        <v>3218</v>
      </c>
      <c r="D85" s="0" t="s">
        <v>3238</v>
      </c>
      <c r="E85" s="0" t="s">
        <v>3239</v>
      </c>
      <c r="F85" s="0" t="s">
        <v>3051</v>
      </c>
      <c r="G85" s="0" t="s">
        <v>3240</v>
      </c>
    </row>
    <row customHeight="1" ht="11.25">
      <c r="A86" s="0" t="s">
        <v>16</v>
      </c>
      <c r="B86" s="0" t="s">
        <v>3217</v>
      </c>
      <c r="C86" s="0" t="s">
        <v>3218</v>
      </c>
      <c r="D86" s="0" t="s">
        <v>3241</v>
      </c>
      <c r="E86" s="0" t="s">
        <v>3242</v>
      </c>
      <c r="F86" s="0" t="s">
        <v>3051</v>
      </c>
      <c r="G86" s="0" t="s">
        <v>3243</v>
      </c>
    </row>
    <row customHeight="1" ht="11.25">
      <c r="A87" s="0" t="s">
        <v>16</v>
      </c>
      <c r="B87" s="0" t="s">
        <v>3217</v>
      </c>
      <c r="C87" s="0" t="s">
        <v>3218</v>
      </c>
      <c r="D87" s="0" t="s">
        <v>3244</v>
      </c>
      <c r="E87" s="0" t="s">
        <v>3245</v>
      </c>
      <c r="F87" s="0" t="s">
        <v>3051</v>
      </c>
      <c r="G87" s="0" t="s">
        <v>3246</v>
      </c>
    </row>
    <row customHeight="1" ht="11.25">
      <c r="A88" s="0" t="s">
        <v>16</v>
      </c>
      <c r="B88" s="0" t="s">
        <v>3217</v>
      </c>
      <c r="C88" s="0" t="s">
        <v>3218</v>
      </c>
      <c r="D88" s="0" t="s">
        <v>3247</v>
      </c>
      <c r="E88" s="0" t="s">
        <v>3248</v>
      </c>
      <c r="F88" s="0" t="s">
        <v>3121</v>
      </c>
      <c r="G88" s="0" t="s">
        <v>3249</v>
      </c>
    </row>
    <row customHeight="1" ht="11.25">
      <c r="A89" s="0" t="s">
        <v>16</v>
      </c>
      <c r="B89" s="0" t="s">
        <v>3250</v>
      </c>
      <c r="C89" s="0" t="s">
        <v>3251</v>
      </c>
      <c r="D89" s="0" t="s">
        <v>3097</v>
      </c>
      <c r="E89" s="0" t="s">
        <v>3252</v>
      </c>
      <c r="F89" s="0" t="s">
        <v>3051</v>
      </c>
      <c r="G89" s="0" t="s">
        <v>3253</v>
      </c>
    </row>
    <row customHeight="1" ht="11.25">
      <c r="A90" s="0" t="s">
        <v>16</v>
      </c>
      <c r="B90" s="0" t="s">
        <v>3250</v>
      </c>
      <c r="C90" s="0" t="s">
        <v>3251</v>
      </c>
      <c r="D90" s="0" t="s">
        <v>3254</v>
      </c>
      <c r="E90" s="0" t="s">
        <v>3255</v>
      </c>
      <c r="F90" s="0" t="s">
        <v>3051</v>
      </c>
      <c r="G90" s="0" t="s">
        <v>3256</v>
      </c>
    </row>
    <row customHeight="1" ht="11.25">
      <c r="A91" s="0" t="s">
        <v>16</v>
      </c>
      <c r="B91" s="0" t="s">
        <v>3250</v>
      </c>
      <c r="C91" s="0" t="s">
        <v>3251</v>
      </c>
      <c r="D91" s="0" t="s">
        <v>3257</v>
      </c>
      <c r="E91" s="0" t="s">
        <v>3258</v>
      </c>
      <c r="F91" s="0" t="s">
        <v>3051</v>
      </c>
      <c r="G91" s="0" t="s">
        <v>3259</v>
      </c>
    </row>
    <row customHeight="1" ht="11.25">
      <c r="A92" s="0" t="s">
        <v>16</v>
      </c>
      <c r="B92" s="0" t="s">
        <v>3250</v>
      </c>
      <c r="C92" s="0" t="s">
        <v>3251</v>
      </c>
      <c r="D92" s="0" t="s">
        <v>3260</v>
      </c>
      <c r="E92" s="0" t="s">
        <v>3261</v>
      </c>
      <c r="F92" s="0" t="s">
        <v>3051</v>
      </c>
      <c r="G92" s="0" t="s">
        <v>3262</v>
      </c>
    </row>
    <row customHeight="1" ht="11.25">
      <c r="A93" s="0" t="s">
        <v>16</v>
      </c>
      <c r="B93" s="0" t="s">
        <v>3250</v>
      </c>
      <c r="C93" s="0" t="s">
        <v>3251</v>
      </c>
      <c r="D93" s="0" t="s">
        <v>3263</v>
      </c>
      <c r="E93" s="0" t="s">
        <v>3264</v>
      </c>
      <c r="F93" s="0" t="s">
        <v>3051</v>
      </c>
      <c r="G93" s="0" t="s">
        <v>3265</v>
      </c>
    </row>
    <row customHeight="1" ht="11.25">
      <c r="A94" s="0" t="s">
        <v>16</v>
      </c>
      <c r="B94" s="0" t="s">
        <v>3250</v>
      </c>
      <c r="C94" s="0" t="s">
        <v>3251</v>
      </c>
      <c r="D94" s="0" t="s">
        <v>3250</v>
      </c>
      <c r="E94" s="0" t="s">
        <v>3251</v>
      </c>
      <c r="F94" s="0" t="s">
        <v>3052</v>
      </c>
      <c r="G94" s="0" t="s">
        <v>3266</v>
      </c>
    </row>
    <row customHeight="1" ht="11.25">
      <c r="A95" s="0" t="s">
        <v>16</v>
      </c>
      <c r="B95" s="0" t="s">
        <v>3250</v>
      </c>
      <c r="C95" s="0" t="s">
        <v>3251</v>
      </c>
      <c r="D95" s="0" t="s">
        <v>3267</v>
      </c>
      <c r="E95" s="0" t="s">
        <v>3268</v>
      </c>
      <c r="F95" s="0" t="s">
        <v>3051</v>
      </c>
      <c r="G95" s="0" t="s">
        <v>3269</v>
      </c>
    </row>
    <row customHeight="1" ht="11.25">
      <c r="A96" s="0" t="s">
        <v>16</v>
      </c>
      <c r="B96" s="0" t="s">
        <v>3250</v>
      </c>
      <c r="C96" s="0" t="s">
        <v>3251</v>
      </c>
      <c r="D96" s="0" t="s">
        <v>3270</v>
      </c>
      <c r="E96" s="0" t="s">
        <v>3271</v>
      </c>
      <c r="F96" s="0" t="s">
        <v>3051</v>
      </c>
      <c r="G96" s="0" t="s">
        <v>3272</v>
      </c>
    </row>
    <row customHeight="1" ht="11.25">
      <c r="A97" s="0" t="s">
        <v>16</v>
      </c>
      <c r="B97" s="0" t="s">
        <v>3250</v>
      </c>
      <c r="C97" s="0" t="s">
        <v>3251</v>
      </c>
      <c r="D97" s="0" t="s">
        <v>3273</v>
      </c>
      <c r="E97" s="0" t="s">
        <v>3274</v>
      </c>
      <c r="F97" s="0" t="s">
        <v>3051</v>
      </c>
      <c r="G97" s="0" t="s">
        <v>3275</v>
      </c>
    </row>
    <row customHeight="1" ht="11.25">
      <c r="A98" s="0" t="s">
        <v>16</v>
      </c>
      <c r="B98" s="0" t="s">
        <v>3250</v>
      </c>
      <c r="C98" s="0" t="s">
        <v>3251</v>
      </c>
      <c r="D98" s="0" t="s">
        <v>3276</v>
      </c>
      <c r="E98" s="0" t="s">
        <v>3277</v>
      </c>
      <c r="F98" s="0" t="s">
        <v>3051</v>
      </c>
      <c r="G98" s="0" t="s">
        <v>3278</v>
      </c>
    </row>
    <row customHeight="1" ht="11.25">
      <c r="A99" s="0" t="s">
        <v>16</v>
      </c>
      <c r="B99" s="0" t="s">
        <v>3250</v>
      </c>
      <c r="C99" s="0" t="s">
        <v>3251</v>
      </c>
      <c r="D99" s="0" t="s">
        <v>3279</v>
      </c>
      <c r="E99" s="0" t="s">
        <v>3280</v>
      </c>
      <c r="F99" s="0" t="s">
        <v>3051</v>
      </c>
      <c r="G99" s="0" t="s">
        <v>3281</v>
      </c>
    </row>
    <row customHeight="1" ht="11.25">
      <c r="A100" s="0" t="s">
        <v>16</v>
      </c>
      <c r="B100" s="0" t="s">
        <v>3250</v>
      </c>
      <c r="C100" s="0" t="s">
        <v>3251</v>
      </c>
      <c r="D100" s="0" t="s">
        <v>3282</v>
      </c>
      <c r="E100" s="0" t="s">
        <v>3283</v>
      </c>
      <c r="F100" s="0" t="s">
        <v>3051</v>
      </c>
      <c r="G100" s="0" t="s">
        <v>3284</v>
      </c>
    </row>
    <row customHeight="1" ht="11.25">
      <c r="A101" s="0" t="s">
        <v>16</v>
      </c>
      <c r="B101" s="0" t="s">
        <v>3250</v>
      </c>
      <c r="C101" s="0" t="s">
        <v>3251</v>
      </c>
      <c r="D101" s="0" t="s">
        <v>3285</v>
      </c>
      <c r="E101" s="0" t="s">
        <v>3286</v>
      </c>
      <c r="F101" s="0" t="s">
        <v>3051</v>
      </c>
      <c r="G101" s="0" t="s">
        <v>3287</v>
      </c>
    </row>
    <row customHeight="1" ht="11.25">
      <c r="A102" s="0" t="s">
        <v>16</v>
      </c>
      <c r="B102" s="0" t="s">
        <v>3250</v>
      </c>
      <c r="C102" s="0" t="s">
        <v>3251</v>
      </c>
      <c r="D102" s="0" t="s">
        <v>3288</v>
      </c>
      <c r="E102" s="0" t="s">
        <v>3289</v>
      </c>
      <c r="F102" s="0" t="s">
        <v>3051</v>
      </c>
      <c r="G102" s="0" t="s">
        <v>3290</v>
      </c>
    </row>
    <row customHeight="1" ht="11.25">
      <c r="A103" s="0" t="s">
        <v>16</v>
      </c>
      <c r="B103" s="0" t="s">
        <v>3250</v>
      </c>
      <c r="C103" s="0" t="s">
        <v>3251</v>
      </c>
      <c r="D103" s="0" t="s">
        <v>3291</v>
      </c>
      <c r="E103" s="0" t="s">
        <v>3292</v>
      </c>
      <c r="F103" s="0" t="s">
        <v>3121</v>
      </c>
      <c r="G103" s="0" t="s">
        <v>3293</v>
      </c>
    </row>
    <row customHeight="1" ht="11.25">
      <c r="A104" s="0" t="s">
        <v>16</v>
      </c>
      <c r="B104" s="0" t="s">
        <v>3250</v>
      </c>
      <c r="C104" s="0" t="s">
        <v>3251</v>
      </c>
      <c r="D104" s="0" t="s">
        <v>3294</v>
      </c>
      <c r="E104" s="0" t="s">
        <v>3295</v>
      </c>
      <c r="F104" s="0" t="s">
        <v>3121</v>
      </c>
      <c r="G104" s="0" t="s">
        <v>3296</v>
      </c>
    </row>
    <row customHeight="1" ht="11.25">
      <c r="A105" s="0" t="s">
        <v>16</v>
      </c>
      <c r="B105" s="0" t="s">
        <v>3250</v>
      </c>
      <c r="C105" s="0" t="s">
        <v>3251</v>
      </c>
      <c r="D105" s="0" t="s">
        <v>3297</v>
      </c>
      <c r="E105" s="0" t="s">
        <v>3298</v>
      </c>
      <c r="F105" s="0" t="s">
        <v>3121</v>
      </c>
      <c r="G105" s="0" t="s">
        <v>3299</v>
      </c>
    </row>
    <row customHeight="1" ht="11.25">
      <c r="A106" s="0" t="s">
        <v>16</v>
      </c>
      <c r="B106" s="0" t="s">
        <v>3300</v>
      </c>
      <c r="C106" s="0" t="s">
        <v>3301</v>
      </c>
      <c r="D106" s="0" t="s">
        <v>3302</v>
      </c>
      <c r="E106" s="0" t="s">
        <v>3303</v>
      </c>
      <c r="F106" s="0" t="s">
        <v>3051</v>
      </c>
      <c r="G106" s="0" t="s">
        <v>3304</v>
      </c>
    </row>
    <row customHeight="1" ht="11.25">
      <c r="A107" s="0" t="s">
        <v>16</v>
      </c>
      <c r="B107" s="0" t="s">
        <v>3300</v>
      </c>
      <c r="C107" s="0" t="s">
        <v>3301</v>
      </c>
      <c r="D107" s="0" t="s">
        <v>3305</v>
      </c>
      <c r="E107" s="0" t="s">
        <v>3306</v>
      </c>
      <c r="F107" s="0" t="s">
        <v>3051</v>
      </c>
      <c r="G107" s="0" t="s">
        <v>3307</v>
      </c>
    </row>
    <row customHeight="1" ht="11.25">
      <c r="A108" s="0" t="s">
        <v>16</v>
      </c>
      <c r="B108" s="0" t="s">
        <v>3300</v>
      </c>
      <c r="C108" s="0" t="s">
        <v>3301</v>
      </c>
      <c r="D108" s="0" t="s">
        <v>3308</v>
      </c>
      <c r="E108" s="0" t="s">
        <v>3309</v>
      </c>
      <c r="F108" s="0" t="s">
        <v>3051</v>
      </c>
      <c r="G108" s="0" t="s">
        <v>3310</v>
      </c>
    </row>
    <row customHeight="1" ht="11.25">
      <c r="A109" s="0" t="s">
        <v>16</v>
      </c>
      <c r="B109" s="0" t="s">
        <v>3300</v>
      </c>
      <c r="C109" s="0" t="s">
        <v>3301</v>
      </c>
      <c r="D109" s="0" t="s">
        <v>3300</v>
      </c>
      <c r="E109" s="0" t="s">
        <v>3301</v>
      </c>
      <c r="F109" s="0" t="s">
        <v>3052</v>
      </c>
      <c r="G109" s="0" t="s">
        <v>3311</v>
      </c>
    </row>
    <row customHeight="1" ht="11.25">
      <c r="A110" s="0" t="s">
        <v>16</v>
      </c>
      <c r="B110" s="0" t="s">
        <v>3300</v>
      </c>
      <c r="C110" s="0" t="s">
        <v>3301</v>
      </c>
      <c r="D110" s="0" t="s">
        <v>3312</v>
      </c>
      <c r="E110" s="0" t="s">
        <v>3313</v>
      </c>
      <c r="F110" s="0" t="s">
        <v>3051</v>
      </c>
      <c r="G110" s="0" t="s">
        <v>3314</v>
      </c>
    </row>
    <row customHeight="1" ht="11.25">
      <c r="A111" s="0" t="s">
        <v>16</v>
      </c>
      <c r="B111" s="0" t="s">
        <v>3300</v>
      </c>
      <c r="C111" s="0" t="s">
        <v>3301</v>
      </c>
      <c r="D111" s="0" t="s">
        <v>3315</v>
      </c>
      <c r="E111" s="0" t="s">
        <v>3316</v>
      </c>
      <c r="F111" s="0" t="s">
        <v>3051</v>
      </c>
      <c r="G111" s="0" t="s">
        <v>3317</v>
      </c>
    </row>
    <row customHeight="1" ht="11.25">
      <c r="A112" s="0" t="s">
        <v>16</v>
      </c>
      <c r="B112" s="0" t="s">
        <v>3300</v>
      </c>
      <c r="C112" s="0" t="s">
        <v>3301</v>
      </c>
      <c r="D112" s="0" t="s">
        <v>3318</v>
      </c>
      <c r="E112" s="0" t="s">
        <v>3319</v>
      </c>
      <c r="F112" s="0" t="s">
        <v>3051</v>
      </c>
      <c r="G112" s="0" t="s">
        <v>3320</v>
      </c>
    </row>
    <row customHeight="1" ht="11.25">
      <c r="A113" s="0" t="s">
        <v>16</v>
      </c>
      <c r="B113" s="0" t="s">
        <v>3300</v>
      </c>
      <c r="C113" s="0" t="s">
        <v>3301</v>
      </c>
      <c r="D113" s="0" t="s">
        <v>3321</v>
      </c>
      <c r="E113" s="0" t="s">
        <v>3322</v>
      </c>
      <c r="F113" s="0" t="s">
        <v>3051</v>
      </c>
      <c r="G113" s="0" t="s">
        <v>3323</v>
      </c>
    </row>
    <row customHeight="1" ht="11.25">
      <c r="A114" s="0" t="s">
        <v>16</v>
      </c>
      <c r="B114" s="0" t="s">
        <v>3300</v>
      </c>
      <c r="C114" s="0" t="s">
        <v>3301</v>
      </c>
      <c r="D114" s="0" t="s">
        <v>3324</v>
      </c>
      <c r="E114" s="0" t="s">
        <v>3325</v>
      </c>
      <c r="F114" s="0" t="s">
        <v>3051</v>
      </c>
      <c r="G114" s="0" t="s">
        <v>3326</v>
      </c>
    </row>
    <row customHeight="1" ht="11.25">
      <c r="A115" s="0" t="s">
        <v>16</v>
      </c>
      <c r="B115" s="0" t="s">
        <v>3300</v>
      </c>
      <c r="C115" s="0" t="s">
        <v>3301</v>
      </c>
      <c r="D115" s="0" t="s">
        <v>3327</v>
      </c>
      <c r="E115" s="0" t="s">
        <v>3328</v>
      </c>
      <c r="F115" s="0" t="s">
        <v>3051</v>
      </c>
      <c r="G115" s="0" t="s">
        <v>3329</v>
      </c>
    </row>
    <row customHeight="1" ht="11.25">
      <c r="A116" s="0" t="s">
        <v>16</v>
      </c>
      <c r="B116" s="0" t="s">
        <v>3300</v>
      </c>
      <c r="C116" s="0" t="s">
        <v>3301</v>
      </c>
      <c r="D116" s="0" t="s">
        <v>3330</v>
      </c>
      <c r="E116" s="0" t="s">
        <v>3331</v>
      </c>
      <c r="F116" s="0" t="s">
        <v>3121</v>
      </c>
      <c r="G116" s="0" t="s">
        <v>3332</v>
      </c>
    </row>
    <row customHeight="1" ht="11.25">
      <c r="A117" s="0" t="s">
        <v>16</v>
      </c>
      <c r="B117" s="0" t="s">
        <v>3333</v>
      </c>
      <c r="C117" s="0" t="s">
        <v>3334</v>
      </c>
      <c r="D117" s="0" t="s">
        <v>3335</v>
      </c>
      <c r="E117" s="0" t="s">
        <v>3336</v>
      </c>
      <c r="F117" s="0" t="s">
        <v>3051</v>
      </c>
      <c r="G117" s="0" t="s">
        <v>3337</v>
      </c>
    </row>
    <row customHeight="1" ht="11.25">
      <c r="A118" s="0" t="s">
        <v>16</v>
      </c>
      <c r="B118" s="0" t="s">
        <v>3333</v>
      </c>
      <c r="C118" s="0" t="s">
        <v>3334</v>
      </c>
      <c r="D118" s="0" t="s">
        <v>3338</v>
      </c>
      <c r="E118" s="0" t="s">
        <v>3339</v>
      </c>
      <c r="F118" s="0" t="s">
        <v>3051</v>
      </c>
      <c r="G118" s="0" t="s">
        <v>3340</v>
      </c>
    </row>
    <row customHeight="1" ht="11.25">
      <c r="A119" s="0" t="s">
        <v>16</v>
      </c>
      <c r="B119" s="0" t="s">
        <v>3333</v>
      </c>
      <c r="C119" s="0" t="s">
        <v>3334</v>
      </c>
      <c r="D119" s="0" t="s">
        <v>3333</v>
      </c>
      <c r="E119" s="0" t="s">
        <v>3334</v>
      </c>
      <c r="F119" s="0" t="s">
        <v>3052</v>
      </c>
      <c r="G119" s="0" t="s">
        <v>3341</v>
      </c>
    </row>
    <row customHeight="1" ht="11.25">
      <c r="A120" s="0" t="s">
        <v>16</v>
      </c>
      <c r="B120" s="0" t="s">
        <v>3333</v>
      </c>
      <c r="C120" s="0" t="s">
        <v>3334</v>
      </c>
      <c r="D120" s="0" t="s">
        <v>3342</v>
      </c>
      <c r="E120" s="0" t="s">
        <v>3343</v>
      </c>
      <c r="F120" s="0" t="s">
        <v>3051</v>
      </c>
      <c r="G120" s="0" t="s">
        <v>3344</v>
      </c>
    </row>
    <row customHeight="1" ht="11.25">
      <c r="A121" s="0" t="s">
        <v>16</v>
      </c>
      <c r="B121" s="0" t="s">
        <v>3333</v>
      </c>
      <c r="C121" s="0" t="s">
        <v>3334</v>
      </c>
      <c r="D121" s="0" t="s">
        <v>3085</v>
      </c>
      <c r="E121" s="0" t="s">
        <v>3345</v>
      </c>
      <c r="F121" s="0" t="s">
        <v>3051</v>
      </c>
      <c r="G121" s="0" t="s">
        <v>3346</v>
      </c>
    </row>
    <row customHeight="1" ht="11.25">
      <c r="A122" s="0" t="s">
        <v>16</v>
      </c>
      <c r="B122" s="0" t="s">
        <v>3333</v>
      </c>
      <c r="C122" s="0" t="s">
        <v>3334</v>
      </c>
      <c r="D122" s="0" t="s">
        <v>3347</v>
      </c>
      <c r="E122" s="0" t="s">
        <v>3348</v>
      </c>
      <c r="F122" s="0" t="s">
        <v>3051</v>
      </c>
      <c r="G122" s="0" t="s">
        <v>3349</v>
      </c>
    </row>
    <row customHeight="1" ht="11.25">
      <c r="A123" s="0" t="s">
        <v>16</v>
      </c>
      <c r="B123" s="0" t="s">
        <v>3333</v>
      </c>
      <c r="C123" s="0" t="s">
        <v>3334</v>
      </c>
      <c r="D123" s="0" t="s">
        <v>3350</v>
      </c>
      <c r="E123" s="0" t="s">
        <v>3351</v>
      </c>
      <c r="F123" s="0" t="s">
        <v>3051</v>
      </c>
      <c r="G123" s="0" t="s">
        <v>3352</v>
      </c>
    </row>
    <row customHeight="1" ht="11.25">
      <c r="A124" s="0" t="s">
        <v>16</v>
      </c>
      <c r="B124" s="0" t="s">
        <v>3333</v>
      </c>
      <c r="C124" s="0" t="s">
        <v>3334</v>
      </c>
      <c r="D124" s="0" t="s">
        <v>3353</v>
      </c>
      <c r="E124" s="0" t="s">
        <v>3354</v>
      </c>
      <c r="F124" s="0" t="s">
        <v>3051</v>
      </c>
      <c r="G124" s="0" t="s">
        <v>3355</v>
      </c>
    </row>
    <row customHeight="1" ht="11.25">
      <c r="A125" s="0" t="s">
        <v>16</v>
      </c>
      <c r="B125" s="0" t="s">
        <v>3333</v>
      </c>
      <c r="C125" s="0" t="s">
        <v>3334</v>
      </c>
      <c r="D125" s="0" t="s">
        <v>3356</v>
      </c>
      <c r="E125" s="0" t="s">
        <v>3357</v>
      </c>
      <c r="F125" s="0" t="s">
        <v>3051</v>
      </c>
      <c r="G125" s="0" t="s">
        <v>3358</v>
      </c>
    </row>
    <row customHeight="1" ht="11.25">
      <c r="A126" s="0" t="s">
        <v>16</v>
      </c>
      <c r="B126" s="0" t="s">
        <v>3333</v>
      </c>
      <c r="C126" s="0" t="s">
        <v>3334</v>
      </c>
      <c r="D126" s="0" t="s">
        <v>3359</v>
      </c>
      <c r="E126" s="0" t="s">
        <v>3360</v>
      </c>
      <c r="F126" s="0" t="s">
        <v>3051</v>
      </c>
      <c r="G126" s="0" t="s">
        <v>3361</v>
      </c>
    </row>
    <row customHeight="1" ht="11.25">
      <c r="A127" s="0" t="s">
        <v>16</v>
      </c>
      <c r="B127" s="0" t="s">
        <v>3333</v>
      </c>
      <c r="C127" s="0" t="s">
        <v>3334</v>
      </c>
      <c r="D127" s="0" t="s">
        <v>3362</v>
      </c>
      <c r="E127" s="0" t="s">
        <v>3363</v>
      </c>
      <c r="F127" s="0" t="s">
        <v>3121</v>
      </c>
      <c r="G127" s="0" t="s">
        <v>3364</v>
      </c>
    </row>
    <row customHeight="1" ht="11.25">
      <c r="A128" s="0" t="s">
        <v>16</v>
      </c>
      <c r="B128" s="0" t="s">
        <v>100</v>
      </c>
      <c r="C128" s="0" t="s">
        <v>3365</v>
      </c>
      <c r="D128" s="0" t="s">
        <v>101</v>
      </c>
      <c r="E128" s="0" t="s">
        <v>102</v>
      </c>
      <c r="F128" s="0" t="s">
        <v>3051</v>
      </c>
      <c r="G128" s="0" t="s">
        <v>99</v>
      </c>
    </row>
    <row customHeight="1" ht="11.25">
      <c r="A129" s="0" t="s">
        <v>16</v>
      </c>
      <c r="B129" s="0" t="s">
        <v>100</v>
      </c>
      <c r="C129" s="0" t="s">
        <v>3365</v>
      </c>
      <c r="D129" s="0" t="s">
        <v>108</v>
      </c>
      <c r="E129" s="0" t="s">
        <v>109</v>
      </c>
      <c r="F129" s="0" t="s">
        <v>3051</v>
      </c>
      <c r="G129" s="0" t="s">
        <v>107</v>
      </c>
    </row>
    <row customHeight="1" ht="11.25">
      <c r="A130" s="0" t="s">
        <v>16</v>
      </c>
      <c r="B130" s="0" t="s">
        <v>100</v>
      </c>
      <c r="C130" s="0" t="s">
        <v>3365</v>
      </c>
      <c r="D130" s="0" t="s">
        <v>112</v>
      </c>
      <c r="E130" s="0" t="s">
        <v>113</v>
      </c>
      <c r="F130" s="0" t="s">
        <v>3051</v>
      </c>
      <c r="G130" s="0" t="s">
        <v>111</v>
      </c>
    </row>
    <row customHeight="1" ht="11.25">
      <c r="A131" s="0" t="s">
        <v>16</v>
      </c>
      <c r="B131" s="0" t="s">
        <v>100</v>
      </c>
      <c r="C131" s="0" t="s">
        <v>3365</v>
      </c>
      <c r="D131" s="0" t="s">
        <v>116</v>
      </c>
      <c r="E131" s="0" t="s">
        <v>117</v>
      </c>
      <c r="F131" s="0" t="s">
        <v>3051</v>
      </c>
      <c r="G131" s="0" t="s">
        <v>115</v>
      </c>
    </row>
    <row customHeight="1" ht="11.25">
      <c r="A132" s="0" t="s">
        <v>16</v>
      </c>
      <c r="B132" s="0" t="s">
        <v>100</v>
      </c>
      <c r="C132" s="0" t="s">
        <v>3365</v>
      </c>
      <c r="D132" s="0" t="s">
        <v>121</v>
      </c>
      <c r="E132" s="0" t="s">
        <v>122</v>
      </c>
      <c r="F132" s="0" t="s">
        <v>3051</v>
      </c>
      <c r="G132" s="0" t="s">
        <v>120</v>
      </c>
    </row>
    <row customHeight="1" ht="11.25">
      <c r="A133" s="0" t="s">
        <v>16</v>
      </c>
      <c r="B133" s="0" t="s">
        <v>100</v>
      </c>
      <c r="C133" s="0" t="s">
        <v>3365</v>
      </c>
      <c r="D133" s="0" t="s">
        <v>125</v>
      </c>
      <c r="E133" s="0" t="s">
        <v>126</v>
      </c>
      <c r="F133" s="0" t="s">
        <v>3051</v>
      </c>
      <c r="G133" s="0" t="s">
        <v>124</v>
      </c>
    </row>
    <row customHeight="1" ht="11.25">
      <c r="A134" s="0" t="s">
        <v>16</v>
      </c>
      <c r="B134" s="0" t="s">
        <v>100</v>
      </c>
      <c r="C134" s="0" t="s">
        <v>3365</v>
      </c>
      <c r="D134" s="0" t="s">
        <v>100</v>
      </c>
      <c r="E134" s="0" t="s">
        <v>3365</v>
      </c>
      <c r="F134" s="0" t="s">
        <v>3052</v>
      </c>
      <c r="G134" s="0" t="s">
        <v>3366</v>
      </c>
    </row>
    <row customHeight="1" ht="11.25">
      <c r="A135" s="0" t="s">
        <v>16</v>
      </c>
      <c r="B135" s="0" t="s">
        <v>100</v>
      </c>
      <c r="C135" s="0" t="s">
        <v>3365</v>
      </c>
      <c r="D135" s="0" t="s">
        <v>129</v>
      </c>
      <c r="E135" s="0" t="s">
        <v>130</v>
      </c>
      <c r="F135" s="0" t="s">
        <v>3051</v>
      </c>
      <c r="G135" s="0" t="s">
        <v>128</v>
      </c>
    </row>
    <row customHeight="1" ht="11.25">
      <c r="A136" s="0" t="s">
        <v>16</v>
      </c>
      <c r="B136" s="0" t="s">
        <v>100</v>
      </c>
      <c r="C136" s="0" t="s">
        <v>3365</v>
      </c>
      <c r="D136" s="0" t="s">
        <v>134</v>
      </c>
      <c r="E136" s="0" t="s">
        <v>135</v>
      </c>
      <c r="F136" s="0" t="s">
        <v>3051</v>
      </c>
      <c r="G136" s="0" t="s">
        <v>133</v>
      </c>
    </row>
    <row customHeight="1" ht="11.25">
      <c r="A137" s="0" t="s">
        <v>16</v>
      </c>
      <c r="B137" s="0" t="s">
        <v>100</v>
      </c>
      <c r="C137" s="0" t="s">
        <v>3365</v>
      </c>
      <c r="D137" s="0" t="s">
        <v>139</v>
      </c>
      <c r="E137" s="0" t="s">
        <v>140</v>
      </c>
      <c r="F137" s="0" t="s">
        <v>3051</v>
      </c>
      <c r="G137" s="0" t="s">
        <v>138</v>
      </c>
    </row>
    <row customHeight="1" ht="11.25">
      <c r="A138" s="0" t="s">
        <v>16</v>
      </c>
      <c r="B138" s="0" t="s">
        <v>100</v>
      </c>
      <c r="C138" s="0" t="s">
        <v>3365</v>
      </c>
      <c r="D138" s="0" t="s">
        <v>144</v>
      </c>
      <c r="E138" s="0" t="s">
        <v>145</v>
      </c>
      <c r="F138" s="0" t="s">
        <v>3051</v>
      </c>
      <c r="G138" s="0" t="s">
        <v>143</v>
      </c>
    </row>
    <row customHeight="1" ht="11.25">
      <c r="A139" s="0" t="s">
        <v>16</v>
      </c>
      <c r="B139" s="0" t="s">
        <v>100</v>
      </c>
      <c r="C139" s="0" t="s">
        <v>3365</v>
      </c>
      <c r="D139" s="0" t="s">
        <v>149</v>
      </c>
      <c r="E139" s="0" t="s">
        <v>150</v>
      </c>
      <c r="F139" s="0" t="s">
        <v>3051</v>
      </c>
      <c r="G139" s="0" t="s">
        <v>148</v>
      </c>
    </row>
    <row customHeight="1" ht="11.25">
      <c r="A140" s="0" t="s">
        <v>16</v>
      </c>
      <c r="B140" s="0" t="s">
        <v>100</v>
      </c>
      <c r="C140" s="0" t="s">
        <v>3365</v>
      </c>
      <c r="D140" s="0" t="s">
        <v>154</v>
      </c>
      <c r="E140" s="0" t="s">
        <v>155</v>
      </c>
      <c r="F140" s="0" t="s">
        <v>3051</v>
      </c>
      <c r="G140" s="0" t="s">
        <v>153</v>
      </c>
    </row>
    <row customHeight="1" ht="11.25">
      <c r="A141" s="0" t="s">
        <v>16</v>
      </c>
      <c r="B141" s="0" t="s">
        <v>100</v>
      </c>
      <c r="C141" s="0" t="s">
        <v>3365</v>
      </c>
      <c r="D141" s="0" t="s">
        <v>159</v>
      </c>
      <c r="E141" s="0" t="s">
        <v>160</v>
      </c>
      <c r="F141" s="0" t="s">
        <v>3051</v>
      </c>
      <c r="G141" s="0" t="s">
        <v>158</v>
      </c>
    </row>
    <row customHeight="1" ht="11.25">
      <c r="A142" s="0" t="s">
        <v>16</v>
      </c>
      <c r="B142" s="0" t="s">
        <v>100</v>
      </c>
      <c r="C142" s="0" t="s">
        <v>3365</v>
      </c>
      <c r="D142" s="0" t="s">
        <v>164</v>
      </c>
      <c r="E142" s="0" t="s">
        <v>165</v>
      </c>
      <c r="F142" s="0" t="s">
        <v>3051</v>
      </c>
      <c r="G142" s="0" t="s">
        <v>163</v>
      </c>
    </row>
    <row customHeight="1" ht="11.25">
      <c r="A143" s="0" t="s">
        <v>16</v>
      </c>
      <c r="B143" s="0" t="s">
        <v>100</v>
      </c>
      <c r="C143" s="0" t="s">
        <v>3365</v>
      </c>
      <c r="D143" s="0" t="s">
        <v>169</v>
      </c>
      <c r="E143" s="0" t="s">
        <v>170</v>
      </c>
      <c r="F143" s="0" t="s">
        <v>3051</v>
      </c>
      <c r="G143" s="0" t="s">
        <v>168</v>
      </c>
    </row>
    <row customHeight="1" ht="11.25">
      <c r="A144" s="0" t="s">
        <v>16</v>
      </c>
      <c r="B144" s="0" t="s">
        <v>100</v>
      </c>
      <c r="C144" s="0" t="s">
        <v>3365</v>
      </c>
      <c r="D144" s="0" t="s">
        <v>174</v>
      </c>
      <c r="E144" s="0" t="s">
        <v>175</v>
      </c>
      <c r="F144" s="0" t="s">
        <v>3051</v>
      </c>
      <c r="G144" s="0" t="s">
        <v>173</v>
      </c>
    </row>
    <row customHeight="1" ht="11.25">
      <c r="A145" s="0" t="s">
        <v>16</v>
      </c>
      <c r="B145" s="0" t="s">
        <v>100</v>
      </c>
      <c r="C145" s="0" t="s">
        <v>3365</v>
      </c>
      <c r="D145" s="0" t="s">
        <v>179</v>
      </c>
      <c r="E145" s="0" t="s">
        <v>180</v>
      </c>
      <c r="F145" s="0" t="s">
        <v>3051</v>
      </c>
      <c r="G145" s="0" t="s">
        <v>178</v>
      </c>
    </row>
    <row customHeight="1" ht="11.25">
      <c r="A146" s="0" t="s">
        <v>16</v>
      </c>
      <c r="B146" s="0" t="s">
        <v>3367</v>
      </c>
      <c r="C146" s="0" t="s">
        <v>3368</v>
      </c>
      <c r="D146" s="0" t="s">
        <v>3369</v>
      </c>
      <c r="E146" s="0" t="s">
        <v>3370</v>
      </c>
      <c r="F146" s="0" t="s">
        <v>3051</v>
      </c>
      <c r="G146" s="0" t="s">
        <v>3371</v>
      </c>
    </row>
    <row customHeight="1" ht="11.25">
      <c r="A147" s="0" t="s">
        <v>16</v>
      </c>
      <c r="B147" s="0" t="s">
        <v>3367</v>
      </c>
      <c r="C147" s="0" t="s">
        <v>3368</v>
      </c>
      <c r="D147" s="0" t="s">
        <v>3372</v>
      </c>
      <c r="E147" s="0" t="s">
        <v>3373</v>
      </c>
      <c r="F147" s="0" t="s">
        <v>3051</v>
      </c>
      <c r="G147" s="0" t="s">
        <v>3374</v>
      </c>
    </row>
    <row customHeight="1" ht="11.25">
      <c r="A148" s="0" t="s">
        <v>16</v>
      </c>
      <c r="B148" s="0" t="s">
        <v>3367</v>
      </c>
      <c r="C148" s="0" t="s">
        <v>3368</v>
      </c>
      <c r="D148" s="0" t="s">
        <v>3375</v>
      </c>
      <c r="E148" s="0" t="s">
        <v>3376</v>
      </c>
      <c r="F148" s="0" t="s">
        <v>3051</v>
      </c>
      <c r="G148" s="0" t="s">
        <v>3377</v>
      </c>
    </row>
    <row customHeight="1" ht="11.25">
      <c r="A149" s="0" t="s">
        <v>16</v>
      </c>
      <c r="B149" s="0" t="s">
        <v>3367</v>
      </c>
      <c r="C149" s="0" t="s">
        <v>3368</v>
      </c>
      <c r="D149" s="0" t="s">
        <v>3378</v>
      </c>
      <c r="E149" s="0" t="s">
        <v>3379</v>
      </c>
      <c r="F149" s="0" t="s">
        <v>3051</v>
      </c>
      <c r="G149" s="0" t="s">
        <v>3380</v>
      </c>
    </row>
    <row customHeight="1" ht="11.25">
      <c r="A150" s="0" t="s">
        <v>16</v>
      </c>
      <c r="B150" s="0" t="s">
        <v>3367</v>
      </c>
      <c r="C150" s="0" t="s">
        <v>3368</v>
      </c>
      <c r="D150" s="0" t="s">
        <v>3367</v>
      </c>
      <c r="E150" s="0" t="s">
        <v>3368</v>
      </c>
      <c r="F150" s="0" t="s">
        <v>3052</v>
      </c>
      <c r="G150" s="0" t="s">
        <v>3381</v>
      </c>
    </row>
    <row customHeight="1" ht="11.25">
      <c r="A151" s="0" t="s">
        <v>16</v>
      </c>
      <c r="B151" s="0" t="s">
        <v>3367</v>
      </c>
      <c r="C151" s="0" t="s">
        <v>3368</v>
      </c>
      <c r="D151" s="0" t="s">
        <v>3382</v>
      </c>
      <c r="E151" s="0" t="s">
        <v>3383</v>
      </c>
      <c r="F151" s="0" t="s">
        <v>3051</v>
      </c>
      <c r="G151" s="0" t="s">
        <v>3384</v>
      </c>
    </row>
    <row customHeight="1" ht="11.25">
      <c r="A152" s="0" t="s">
        <v>16</v>
      </c>
      <c r="B152" s="0" t="s">
        <v>3367</v>
      </c>
      <c r="C152" s="0" t="s">
        <v>3368</v>
      </c>
      <c r="D152" s="0" t="s">
        <v>3385</v>
      </c>
      <c r="E152" s="0" t="s">
        <v>3386</v>
      </c>
      <c r="F152" s="0" t="s">
        <v>3051</v>
      </c>
      <c r="G152" s="0" t="s">
        <v>3387</v>
      </c>
    </row>
    <row customHeight="1" ht="11.25">
      <c r="A153" s="0" t="s">
        <v>16</v>
      </c>
      <c r="B153" s="0" t="s">
        <v>3367</v>
      </c>
      <c r="C153" s="0" t="s">
        <v>3368</v>
      </c>
      <c r="D153" s="0" t="s">
        <v>3388</v>
      </c>
      <c r="E153" s="0" t="s">
        <v>3389</v>
      </c>
      <c r="F153" s="0" t="s">
        <v>3121</v>
      </c>
      <c r="G153" s="0" t="s">
        <v>3390</v>
      </c>
    </row>
    <row customHeight="1" ht="11.25">
      <c r="A154" s="0" t="s">
        <v>16</v>
      </c>
      <c r="B154" s="0" t="s">
        <v>3367</v>
      </c>
      <c r="C154" s="0" t="s">
        <v>3368</v>
      </c>
      <c r="D154" s="0" t="s">
        <v>3391</v>
      </c>
      <c r="E154" s="0" t="s">
        <v>3392</v>
      </c>
      <c r="F154" s="0" t="s">
        <v>3121</v>
      </c>
      <c r="G154" s="0" t="s">
        <v>3393</v>
      </c>
    </row>
    <row customHeight="1" ht="11.25">
      <c r="A155" s="0" t="s">
        <v>16</v>
      </c>
      <c r="B155" s="0" t="s">
        <v>3394</v>
      </c>
      <c r="C155" s="0" t="s">
        <v>3395</v>
      </c>
      <c r="D155" s="0" t="s">
        <v>3396</v>
      </c>
      <c r="E155" s="0" t="s">
        <v>3397</v>
      </c>
      <c r="F155" s="0" t="s">
        <v>3051</v>
      </c>
      <c r="G155" s="0" t="s">
        <v>3398</v>
      </c>
    </row>
    <row customHeight="1" ht="11.25">
      <c r="A156" s="0" t="s">
        <v>16</v>
      </c>
      <c r="B156" s="0" t="s">
        <v>3394</v>
      </c>
      <c r="C156" s="0" t="s">
        <v>3395</v>
      </c>
      <c r="D156" s="0" t="s">
        <v>3399</v>
      </c>
      <c r="E156" s="0" t="s">
        <v>3400</v>
      </c>
      <c r="F156" s="0" t="s">
        <v>3051</v>
      </c>
      <c r="G156" s="0" t="s">
        <v>3401</v>
      </c>
    </row>
    <row customHeight="1" ht="11.25">
      <c r="A157" s="0" t="s">
        <v>16</v>
      </c>
      <c r="B157" s="0" t="s">
        <v>3394</v>
      </c>
      <c r="C157" s="0" t="s">
        <v>3395</v>
      </c>
      <c r="D157" s="0" t="s">
        <v>3402</v>
      </c>
      <c r="E157" s="0" t="s">
        <v>3403</v>
      </c>
      <c r="F157" s="0" t="s">
        <v>3051</v>
      </c>
      <c r="G157" s="0" t="s">
        <v>3404</v>
      </c>
    </row>
    <row customHeight="1" ht="11.25">
      <c r="A158" s="0" t="s">
        <v>16</v>
      </c>
      <c r="B158" s="0" t="s">
        <v>3394</v>
      </c>
      <c r="C158" s="0" t="s">
        <v>3395</v>
      </c>
      <c r="D158" s="0" t="s">
        <v>3405</v>
      </c>
      <c r="E158" s="0" t="s">
        <v>3406</v>
      </c>
      <c r="F158" s="0" t="s">
        <v>3051</v>
      </c>
      <c r="G158" s="0" t="s">
        <v>3407</v>
      </c>
    </row>
    <row customHeight="1" ht="11.25">
      <c r="A159" s="0" t="s">
        <v>16</v>
      </c>
      <c r="B159" s="0" t="s">
        <v>3394</v>
      </c>
      <c r="C159" s="0" t="s">
        <v>3395</v>
      </c>
      <c r="D159" s="0" t="s">
        <v>3408</v>
      </c>
      <c r="E159" s="0" t="s">
        <v>3409</v>
      </c>
      <c r="F159" s="0" t="s">
        <v>3051</v>
      </c>
      <c r="G159" s="0" t="s">
        <v>3410</v>
      </c>
    </row>
    <row customHeight="1" ht="11.25">
      <c r="A160" s="0" t="s">
        <v>16</v>
      </c>
      <c r="B160" s="0" t="s">
        <v>3394</v>
      </c>
      <c r="C160" s="0" t="s">
        <v>3395</v>
      </c>
      <c r="D160" s="0" t="s">
        <v>3411</v>
      </c>
      <c r="E160" s="0" t="s">
        <v>3412</v>
      </c>
      <c r="F160" s="0" t="s">
        <v>3051</v>
      </c>
      <c r="G160" s="0" t="s">
        <v>3413</v>
      </c>
    </row>
    <row customHeight="1" ht="11.25">
      <c r="A161" s="0" t="s">
        <v>16</v>
      </c>
      <c r="B161" s="0" t="s">
        <v>3394</v>
      </c>
      <c r="C161" s="0" t="s">
        <v>3395</v>
      </c>
      <c r="D161" s="0" t="s">
        <v>3394</v>
      </c>
      <c r="E161" s="0" t="s">
        <v>3395</v>
      </c>
      <c r="F161" s="0" t="s">
        <v>3052</v>
      </c>
      <c r="G161" s="0" t="s">
        <v>3414</v>
      </c>
    </row>
    <row customHeight="1" ht="11.25">
      <c r="A162" s="0" t="s">
        <v>16</v>
      </c>
      <c r="B162" s="0" t="s">
        <v>3394</v>
      </c>
      <c r="C162" s="0" t="s">
        <v>3395</v>
      </c>
      <c r="D162" s="0" t="s">
        <v>3415</v>
      </c>
      <c r="E162" s="0" t="s">
        <v>3416</v>
      </c>
      <c r="F162" s="0" t="s">
        <v>3051</v>
      </c>
      <c r="G162" s="0" t="s">
        <v>3417</v>
      </c>
    </row>
    <row customHeight="1" ht="11.25">
      <c r="A163" s="0" t="s">
        <v>16</v>
      </c>
      <c r="B163" s="0" t="s">
        <v>3394</v>
      </c>
      <c r="C163" s="0" t="s">
        <v>3395</v>
      </c>
      <c r="D163" s="0" t="s">
        <v>3418</v>
      </c>
      <c r="E163" s="0" t="s">
        <v>3419</v>
      </c>
      <c r="F163" s="0" t="s">
        <v>3051</v>
      </c>
      <c r="G163" s="0" t="s">
        <v>3420</v>
      </c>
    </row>
    <row customHeight="1" ht="11.25">
      <c r="A164" s="0" t="s">
        <v>16</v>
      </c>
      <c r="B164" s="0" t="s">
        <v>3421</v>
      </c>
      <c r="C164" s="0" t="s">
        <v>3422</v>
      </c>
      <c r="D164" s="0" t="s">
        <v>3423</v>
      </c>
      <c r="E164" s="0" t="s">
        <v>3424</v>
      </c>
      <c r="F164" s="0" t="s">
        <v>3051</v>
      </c>
      <c r="G164" s="0" t="s">
        <v>3425</v>
      </c>
    </row>
    <row customHeight="1" ht="11.25">
      <c r="A165" s="0" t="s">
        <v>16</v>
      </c>
      <c r="B165" s="0" t="s">
        <v>3421</v>
      </c>
      <c r="C165" s="0" t="s">
        <v>3422</v>
      </c>
      <c r="D165" s="0" t="s">
        <v>3426</v>
      </c>
      <c r="E165" s="0" t="s">
        <v>3427</v>
      </c>
      <c r="F165" s="0" t="s">
        <v>3051</v>
      </c>
      <c r="G165" s="0" t="s">
        <v>3428</v>
      </c>
    </row>
    <row customHeight="1" ht="11.25">
      <c r="A166" s="0" t="s">
        <v>16</v>
      </c>
      <c r="B166" s="0" t="s">
        <v>3421</v>
      </c>
      <c r="C166" s="0" t="s">
        <v>3422</v>
      </c>
      <c r="D166" s="0" t="s">
        <v>3421</v>
      </c>
      <c r="E166" s="0" t="s">
        <v>3422</v>
      </c>
      <c r="F166" s="0" t="s">
        <v>3052</v>
      </c>
      <c r="G166" s="0" t="s">
        <v>3429</v>
      </c>
    </row>
    <row customHeight="1" ht="11.25">
      <c r="A167" s="0" t="s">
        <v>16</v>
      </c>
      <c r="B167" s="0" t="s">
        <v>3421</v>
      </c>
      <c r="C167" s="0" t="s">
        <v>3422</v>
      </c>
      <c r="D167" s="0" t="s">
        <v>3430</v>
      </c>
      <c r="E167" s="0" t="s">
        <v>3431</v>
      </c>
      <c r="F167" s="0" t="s">
        <v>3051</v>
      </c>
      <c r="G167" s="0" t="s">
        <v>3432</v>
      </c>
    </row>
    <row customHeight="1" ht="11.25">
      <c r="A168" s="0" t="s">
        <v>16</v>
      </c>
      <c r="B168" s="0" t="s">
        <v>3421</v>
      </c>
      <c r="C168" s="0" t="s">
        <v>3422</v>
      </c>
      <c r="D168" s="0" t="s">
        <v>3433</v>
      </c>
      <c r="E168" s="0" t="s">
        <v>3434</v>
      </c>
      <c r="F168" s="0" t="s">
        <v>3051</v>
      </c>
      <c r="G168" s="0" t="s">
        <v>3435</v>
      </c>
    </row>
    <row customHeight="1" ht="11.25">
      <c r="A169" s="0" t="s">
        <v>16</v>
      </c>
      <c r="B169" s="0" t="s">
        <v>3421</v>
      </c>
      <c r="C169" s="0" t="s">
        <v>3422</v>
      </c>
      <c r="D169" s="0" t="s">
        <v>3436</v>
      </c>
      <c r="E169" s="0" t="s">
        <v>3437</v>
      </c>
      <c r="F169" s="0" t="s">
        <v>3051</v>
      </c>
      <c r="G169" s="0" t="s">
        <v>3438</v>
      </c>
    </row>
    <row customHeight="1" ht="11.25">
      <c r="A170" s="0" t="s">
        <v>16</v>
      </c>
      <c r="B170" s="0" t="s">
        <v>3421</v>
      </c>
      <c r="C170" s="0" t="s">
        <v>3422</v>
      </c>
      <c r="D170" s="0" t="s">
        <v>3439</v>
      </c>
      <c r="E170" s="0" t="s">
        <v>3440</v>
      </c>
      <c r="F170" s="0" t="s">
        <v>3051</v>
      </c>
      <c r="G170" s="0" t="s">
        <v>3441</v>
      </c>
    </row>
    <row customHeight="1" ht="11.25">
      <c r="A171" s="0" t="s">
        <v>16</v>
      </c>
      <c r="B171" s="0" t="s">
        <v>3421</v>
      </c>
      <c r="C171" s="0" t="s">
        <v>3422</v>
      </c>
      <c r="D171" s="0" t="s">
        <v>3442</v>
      </c>
      <c r="E171" s="0" t="s">
        <v>3443</v>
      </c>
      <c r="F171" s="0" t="s">
        <v>3051</v>
      </c>
      <c r="G171" s="0" t="s">
        <v>3444</v>
      </c>
    </row>
    <row customHeight="1" ht="11.25">
      <c r="A172" s="0" t="s">
        <v>16</v>
      </c>
      <c r="B172" s="0" t="s">
        <v>3445</v>
      </c>
      <c r="C172" s="0" t="s">
        <v>3446</v>
      </c>
      <c r="D172" s="0" t="s">
        <v>3447</v>
      </c>
      <c r="E172" s="0" t="s">
        <v>3448</v>
      </c>
      <c r="F172" s="0" t="s">
        <v>3051</v>
      </c>
      <c r="G172" s="0" t="s">
        <v>3449</v>
      </c>
    </row>
    <row customHeight="1" ht="11.25">
      <c r="A173" s="0" t="s">
        <v>16</v>
      </c>
      <c r="B173" s="0" t="s">
        <v>3445</v>
      </c>
      <c r="C173" s="0" t="s">
        <v>3446</v>
      </c>
      <c r="D173" s="0" t="s">
        <v>3450</v>
      </c>
      <c r="E173" s="0" t="s">
        <v>3451</v>
      </c>
      <c r="F173" s="0" t="s">
        <v>3051</v>
      </c>
      <c r="G173" s="0" t="s">
        <v>3452</v>
      </c>
    </row>
    <row customHeight="1" ht="11.25">
      <c r="A174" s="0" t="s">
        <v>16</v>
      </c>
      <c r="B174" s="0" t="s">
        <v>3445</v>
      </c>
      <c r="C174" s="0" t="s">
        <v>3446</v>
      </c>
      <c r="D174" s="0" t="s">
        <v>3453</v>
      </c>
      <c r="E174" s="0" t="s">
        <v>3454</v>
      </c>
      <c r="F174" s="0" t="s">
        <v>3051</v>
      </c>
      <c r="G174" s="0" t="s">
        <v>3455</v>
      </c>
    </row>
    <row customHeight="1" ht="11.25">
      <c r="A175" s="0" t="s">
        <v>16</v>
      </c>
      <c r="B175" s="0" t="s">
        <v>3445</v>
      </c>
      <c r="C175" s="0" t="s">
        <v>3446</v>
      </c>
      <c r="D175" s="0" t="s">
        <v>3456</v>
      </c>
      <c r="E175" s="0" t="s">
        <v>3457</v>
      </c>
      <c r="F175" s="0" t="s">
        <v>3051</v>
      </c>
      <c r="G175" s="0" t="s">
        <v>3458</v>
      </c>
    </row>
    <row customHeight="1" ht="11.25">
      <c r="A176" s="0" t="s">
        <v>16</v>
      </c>
      <c r="B176" s="0" t="s">
        <v>3445</v>
      </c>
      <c r="C176" s="0" t="s">
        <v>3446</v>
      </c>
      <c r="D176" s="0" t="s">
        <v>3459</v>
      </c>
      <c r="E176" s="0" t="s">
        <v>3460</v>
      </c>
      <c r="F176" s="0" t="s">
        <v>3051</v>
      </c>
      <c r="G176" s="0" t="s">
        <v>3461</v>
      </c>
    </row>
    <row customHeight="1" ht="11.25">
      <c r="A177" s="0" t="s">
        <v>16</v>
      </c>
      <c r="B177" s="0" t="s">
        <v>3445</v>
      </c>
      <c r="C177" s="0" t="s">
        <v>3446</v>
      </c>
      <c r="D177" s="0" t="s">
        <v>3445</v>
      </c>
      <c r="E177" s="0" t="s">
        <v>3446</v>
      </c>
      <c r="F177" s="0" t="s">
        <v>3052</v>
      </c>
      <c r="G177" s="0" t="s">
        <v>3462</v>
      </c>
    </row>
    <row customHeight="1" ht="11.25">
      <c r="A178" s="0" t="s">
        <v>16</v>
      </c>
      <c r="B178" s="0" t="s">
        <v>3445</v>
      </c>
      <c r="C178" s="0" t="s">
        <v>3446</v>
      </c>
      <c r="D178" s="0" t="s">
        <v>3463</v>
      </c>
      <c r="E178" s="0" t="s">
        <v>3464</v>
      </c>
      <c r="F178" s="0" t="s">
        <v>3051</v>
      </c>
      <c r="G178" s="0" t="s">
        <v>3465</v>
      </c>
    </row>
    <row customHeight="1" ht="11.25">
      <c r="A179" s="0" t="s">
        <v>16</v>
      </c>
      <c r="B179" s="0" t="s">
        <v>3445</v>
      </c>
      <c r="C179" s="0" t="s">
        <v>3446</v>
      </c>
      <c r="D179" s="0" t="s">
        <v>3466</v>
      </c>
      <c r="E179" s="0" t="s">
        <v>3467</v>
      </c>
      <c r="F179" s="0" t="s">
        <v>3051</v>
      </c>
      <c r="G179" s="0" t="s">
        <v>3468</v>
      </c>
    </row>
    <row customHeight="1" ht="11.25">
      <c r="A180" s="0" t="s">
        <v>16</v>
      </c>
      <c r="B180" s="0" t="s">
        <v>3445</v>
      </c>
      <c r="C180" s="0" t="s">
        <v>3446</v>
      </c>
      <c r="D180" s="0" t="s">
        <v>3469</v>
      </c>
      <c r="E180" s="0" t="s">
        <v>3470</v>
      </c>
      <c r="F180" s="0" t="s">
        <v>3051</v>
      </c>
      <c r="G180" s="0" t="s">
        <v>3471</v>
      </c>
    </row>
    <row customHeight="1" ht="11.25">
      <c r="A181" s="0" t="s">
        <v>16</v>
      </c>
      <c r="B181" s="0" t="s">
        <v>3445</v>
      </c>
      <c r="C181" s="0" t="s">
        <v>3446</v>
      </c>
      <c r="D181" s="0" t="s">
        <v>3472</v>
      </c>
      <c r="E181" s="0" t="s">
        <v>3473</v>
      </c>
      <c r="F181" s="0" t="s">
        <v>3051</v>
      </c>
      <c r="G181" s="0" t="s">
        <v>3474</v>
      </c>
    </row>
    <row customHeight="1" ht="11.25">
      <c r="A182" s="0" t="s">
        <v>16</v>
      </c>
      <c r="B182" s="0" t="s">
        <v>3445</v>
      </c>
      <c r="C182" s="0" t="s">
        <v>3446</v>
      </c>
      <c r="D182" s="0" t="s">
        <v>3475</v>
      </c>
      <c r="E182" s="0" t="s">
        <v>3476</v>
      </c>
      <c r="F182" s="0" t="s">
        <v>3121</v>
      </c>
      <c r="G182" s="0" t="s">
        <v>3477</v>
      </c>
    </row>
    <row customHeight="1" ht="11.25">
      <c r="A183" s="0" t="s">
        <v>16</v>
      </c>
      <c r="B183" s="0" t="s">
        <v>3478</v>
      </c>
      <c r="C183" s="0" t="s">
        <v>3479</v>
      </c>
      <c r="D183" s="0" t="s">
        <v>3480</v>
      </c>
      <c r="E183" s="0" t="s">
        <v>3481</v>
      </c>
      <c r="F183" s="0" t="s">
        <v>3051</v>
      </c>
      <c r="G183" s="0" t="s">
        <v>3482</v>
      </c>
    </row>
    <row customHeight="1" ht="11.25">
      <c r="A184" s="0" t="s">
        <v>16</v>
      </c>
      <c r="B184" s="0" t="s">
        <v>3478</v>
      </c>
      <c r="C184" s="0" t="s">
        <v>3479</v>
      </c>
      <c r="D184" s="0" t="s">
        <v>3483</v>
      </c>
      <c r="E184" s="0" t="s">
        <v>3484</v>
      </c>
      <c r="F184" s="0" t="s">
        <v>3051</v>
      </c>
      <c r="G184" s="0" t="s">
        <v>3485</v>
      </c>
    </row>
    <row customHeight="1" ht="11.25">
      <c r="A185" s="0" t="s">
        <v>16</v>
      </c>
      <c r="B185" s="0" t="s">
        <v>3478</v>
      </c>
      <c r="C185" s="0" t="s">
        <v>3479</v>
      </c>
      <c r="D185" s="0" t="s">
        <v>3486</v>
      </c>
      <c r="E185" s="0" t="s">
        <v>3487</v>
      </c>
      <c r="F185" s="0" t="s">
        <v>3051</v>
      </c>
      <c r="G185" s="0" t="s">
        <v>3488</v>
      </c>
    </row>
    <row customHeight="1" ht="11.25">
      <c r="A186" s="0" t="s">
        <v>16</v>
      </c>
      <c r="B186" s="0" t="s">
        <v>3478</v>
      </c>
      <c r="C186" s="0" t="s">
        <v>3479</v>
      </c>
      <c r="D186" s="0" t="s">
        <v>3489</v>
      </c>
      <c r="E186" s="0" t="s">
        <v>3490</v>
      </c>
      <c r="F186" s="0" t="s">
        <v>3051</v>
      </c>
      <c r="G186" s="0" t="s">
        <v>3491</v>
      </c>
    </row>
    <row customHeight="1" ht="11.25">
      <c r="A187" s="0" t="s">
        <v>16</v>
      </c>
      <c r="B187" s="0" t="s">
        <v>3478</v>
      </c>
      <c r="C187" s="0" t="s">
        <v>3479</v>
      </c>
      <c r="D187" s="0" t="s">
        <v>3492</v>
      </c>
      <c r="E187" s="0" t="s">
        <v>3493</v>
      </c>
      <c r="F187" s="0" t="s">
        <v>3051</v>
      </c>
      <c r="G187" s="0" t="s">
        <v>3494</v>
      </c>
    </row>
    <row customHeight="1" ht="11.25">
      <c r="A188" s="0" t="s">
        <v>16</v>
      </c>
      <c r="B188" s="0" t="s">
        <v>3478</v>
      </c>
      <c r="C188" s="0" t="s">
        <v>3479</v>
      </c>
      <c r="D188" s="0" t="s">
        <v>3495</v>
      </c>
      <c r="E188" s="0" t="s">
        <v>3496</v>
      </c>
      <c r="F188" s="0" t="s">
        <v>3051</v>
      </c>
      <c r="G188" s="0" t="s">
        <v>3497</v>
      </c>
    </row>
    <row customHeight="1" ht="11.25">
      <c r="A189" s="0" t="s">
        <v>16</v>
      </c>
      <c r="B189" s="0" t="s">
        <v>3478</v>
      </c>
      <c r="C189" s="0" t="s">
        <v>3479</v>
      </c>
      <c r="D189" s="0" t="s">
        <v>3498</v>
      </c>
      <c r="E189" s="0" t="s">
        <v>3499</v>
      </c>
      <c r="F189" s="0" t="s">
        <v>3051</v>
      </c>
      <c r="G189" s="0" t="s">
        <v>3500</v>
      </c>
    </row>
    <row customHeight="1" ht="11.25">
      <c r="A190" s="0" t="s">
        <v>16</v>
      </c>
      <c r="B190" s="0" t="s">
        <v>3478</v>
      </c>
      <c r="C190" s="0" t="s">
        <v>3479</v>
      </c>
      <c r="D190" s="0" t="s">
        <v>3501</v>
      </c>
      <c r="E190" s="0" t="s">
        <v>3502</v>
      </c>
      <c r="F190" s="0" t="s">
        <v>3051</v>
      </c>
      <c r="G190" s="0" t="s">
        <v>3503</v>
      </c>
    </row>
    <row customHeight="1" ht="11.25">
      <c r="A191" s="0" t="s">
        <v>16</v>
      </c>
      <c r="B191" s="0" t="s">
        <v>3478</v>
      </c>
      <c r="C191" s="0" t="s">
        <v>3479</v>
      </c>
      <c r="D191" s="0" t="s">
        <v>3478</v>
      </c>
      <c r="E191" s="0" t="s">
        <v>3479</v>
      </c>
      <c r="F191" s="0" t="s">
        <v>3052</v>
      </c>
      <c r="G191" s="0" t="s">
        <v>3504</v>
      </c>
    </row>
    <row customHeight="1" ht="11.25">
      <c r="A192" s="0" t="s">
        <v>16</v>
      </c>
      <c r="B192" s="0" t="s">
        <v>3478</v>
      </c>
      <c r="C192" s="0" t="s">
        <v>3479</v>
      </c>
      <c r="D192" s="0" t="s">
        <v>3505</v>
      </c>
      <c r="E192" s="0" t="s">
        <v>3506</v>
      </c>
      <c r="F192" s="0" t="s">
        <v>3051</v>
      </c>
      <c r="G192" s="0" t="s">
        <v>3507</v>
      </c>
    </row>
    <row customHeight="1" ht="11.25">
      <c r="A193" s="0" t="s">
        <v>16</v>
      </c>
      <c r="B193" s="0" t="s">
        <v>3478</v>
      </c>
      <c r="C193" s="0" t="s">
        <v>3479</v>
      </c>
      <c r="D193" s="0" t="s">
        <v>3508</v>
      </c>
      <c r="E193" s="0" t="s">
        <v>3509</v>
      </c>
      <c r="F193" s="0" t="s">
        <v>3051</v>
      </c>
      <c r="G193" s="0" t="s">
        <v>3510</v>
      </c>
    </row>
    <row customHeight="1" ht="11.25">
      <c r="A194" s="0" t="s">
        <v>16</v>
      </c>
      <c r="B194" s="0" t="s">
        <v>3478</v>
      </c>
      <c r="C194" s="0" t="s">
        <v>3479</v>
      </c>
      <c r="D194" s="0" t="s">
        <v>3511</v>
      </c>
      <c r="E194" s="0" t="s">
        <v>3512</v>
      </c>
      <c r="F194" s="0" t="s">
        <v>3051</v>
      </c>
      <c r="G194" s="0" t="s">
        <v>3513</v>
      </c>
    </row>
    <row customHeight="1" ht="11.25">
      <c r="A195" s="0" t="s">
        <v>16</v>
      </c>
      <c r="B195" s="0" t="s">
        <v>3478</v>
      </c>
      <c r="C195" s="0" t="s">
        <v>3479</v>
      </c>
      <c r="D195" s="0" t="s">
        <v>3514</v>
      </c>
      <c r="E195" s="0" t="s">
        <v>3515</v>
      </c>
      <c r="F195" s="0" t="s">
        <v>3051</v>
      </c>
      <c r="G195" s="0" t="s">
        <v>3516</v>
      </c>
    </row>
    <row customHeight="1" ht="11.25">
      <c r="A196" s="0" t="s">
        <v>16</v>
      </c>
      <c r="B196" s="0" t="s">
        <v>3478</v>
      </c>
      <c r="C196" s="0" t="s">
        <v>3479</v>
      </c>
      <c r="D196" s="0" t="s">
        <v>3517</v>
      </c>
      <c r="E196" s="0" t="s">
        <v>3518</v>
      </c>
      <c r="F196" s="0" t="s">
        <v>3176</v>
      </c>
      <c r="G196" s="0" t="s">
        <v>3519</v>
      </c>
    </row>
    <row customHeight="1" ht="11.25">
      <c r="A197" s="0" t="s">
        <v>16</v>
      </c>
      <c r="B197" s="0" t="s">
        <v>3520</v>
      </c>
      <c r="C197" s="0" t="s">
        <v>3521</v>
      </c>
      <c r="D197" s="0" t="s">
        <v>3522</v>
      </c>
      <c r="E197" s="0" t="s">
        <v>3523</v>
      </c>
      <c r="F197" s="0" t="s">
        <v>3051</v>
      </c>
      <c r="G197" s="0" t="s">
        <v>3524</v>
      </c>
    </row>
    <row customHeight="1" ht="11.25">
      <c r="A198" s="0" t="s">
        <v>16</v>
      </c>
      <c r="B198" s="0" t="s">
        <v>3520</v>
      </c>
      <c r="C198" s="0" t="s">
        <v>3521</v>
      </c>
      <c r="D198" s="0" t="s">
        <v>3525</v>
      </c>
      <c r="E198" s="0" t="s">
        <v>3526</v>
      </c>
      <c r="F198" s="0" t="s">
        <v>3051</v>
      </c>
      <c r="G198" s="0" t="s">
        <v>3527</v>
      </c>
    </row>
    <row customHeight="1" ht="11.25">
      <c r="A199" s="0" t="s">
        <v>16</v>
      </c>
      <c r="B199" s="0" t="s">
        <v>3520</v>
      </c>
      <c r="C199" s="0" t="s">
        <v>3521</v>
      </c>
      <c r="D199" s="0" t="s">
        <v>3528</v>
      </c>
      <c r="E199" s="0" t="s">
        <v>3529</v>
      </c>
      <c r="F199" s="0" t="s">
        <v>3051</v>
      </c>
      <c r="G199" s="0" t="s">
        <v>3530</v>
      </c>
    </row>
    <row customHeight="1" ht="11.25">
      <c r="A200" s="0" t="s">
        <v>16</v>
      </c>
      <c r="B200" s="0" t="s">
        <v>3520</v>
      </c>
      <c r="C200" s="0" t="s">
        <v>3521</v>
      </c>
      <c r="D200" s="0" t="s">
        <v>3531</v>
      </c>
      <c r="E200" s="0" t="s">
        <v>3532</v>
      </c>
      <c r="F200" s="0" t="s">
        <v>3051</v>
      </c>
      <c r="G200" s="0" t="s">
        <v>3533</v>
      </c>
    </row>
    <row customHeight="1" ht="11.25">
      <c r="A201" s="0" t="s">
        <v>16</v>
      </c>
      <c r="B201" s="0" t="s">
        <v>3520</v>
      </c>
      <c r="C201" s="0" t="s">
        <v>3521</v>
      </c>
      <c r="D201" s="0" t="s">
        <v>3534</v>
      </c>
      <c r="E201" s="0" t="s">
        <v>3535</v>
      </c>
      <c r="F201" s="0" t="s">
        <v>3051</v>
      </c>
      <c r="G201" s="0" t="s">
        <v>3536</v>
      </c>
    </row>
    <row customHeight="1" ht="11.25">
      <c r="A202" s="0" t="s">
        <v>16</v>
      </c>
      <c r="B202" s="0" t="s">
        <v>3520</v>
      </c>
      <c r="C202" s="0" t="s">
        <v>3521</v>
      </c>
      <c r="D202" s="0" t="s">
        <v>3138</v>
      </c>
      <c r="E202" s="0" t="s">
        <v>3537</v>
      </c>
      <c r="F202" s="0" t="s">
        <v>3051</v>
      </c>
      <c r="G202" s="0" t="s">
        <v>3538</v>
      </c>
    </row>
    <row customHeight="1" ht="11.25">
      <c r="A203" s="0" t="s">
        <v>16</v>
      </c>
      <c r="B203" s="0" t="s">
        <v>3520</v>
      </c>
      <c r="C203" s="0" t="s">
        <v>3521</v>
      </c>
      <c r="D203" s="0" t="s">
        <v>3520</v>
      </c>
      <c r="E203" s="0" t="s">
        <v>3521</v>
      </c>
      <c r="F203" s="0" t="s">
        <v>3052</v>
      </c>
      <c r="G203" s="0" t="s">
        <v>3539</v>
      </c>
    </row>
    <row customHeight="1" ht="11.25">
      <c r="A204" s="0" t="s">
        <v>16</v>
      </c>
      <c r="B204" s="0" t="s">
        <v>3520</v>
      </c>
      <c r="C204" s="0" t="s">
        <v>3521</v>
      </c>
      <c r="D204" s="0" t="s">
        <v>3540</v>
      </c>
      <c r="E204" s="0" t="s">
        <v>3541</v>
      </c>
      <c r="F204" s="0" t="s">
        <v>3051</v>
      </c>
      <c r="G204" s="0" t="s">
        <v>3542</v>
      </c>
    </row>
    <row customHeight="1" ht="11.25">
      <c r="A205" s="0" t="s">
        <v>16</v>
      </c>
      <c r="B205" s="0" t="s">
        <v>3520</v>
      </c>
      <c r="C205" s="0" t="s">
        <v>3521</v>
      </c>
      <c r="D205" s="0" t="s">
        <v>3543</v>
      </c>
      <c r="E205" s="0" t="s">
        <v>3544</v>
      </c>
      <c r="F205" s="0" t="s">
        <v>3051</v>
      </c>
      <c r="G205" s="0" t="s">
        <v>3545</v>
      </c>
    </row>
    <row customHeight="1" ht="11.25">
      <c r="A206" s="0" t="s">
        <v>16</v>
      </c>
      <c r="B206" s="0" t="s">
        <v>3520</v>
      </c>
      <c r="C206" s="0" t="s">
        <v>3521</v>
      </c>
      <c r="D206" s="0" t="s">
        <v>3546</v>
      </c>
      <c r="E206" s="0" t="s">
        <v>3547</v>
      </c>
      <c r="F206" s="0" t="s">
        <v>3051</v>
      </c>
      <c r="G206" s="0" t="s">
        <v>3548</v>
      </c>
    </row>
    <row customHeight="1" ht="11.25">
      <c r="A207" s="0" t="s">
        <v>16</v>
      </c>
      <c r="B207" s="0" t="s">
        <v>3520</v>
      </c>
      <c r="C207" s="0" t="s">
        <v>3521</v>
      </c>
      <c r="D207" s="0" t="s">
        <v>3549</v>
      </c>
      <c r="E207" s="0" t="s">
        <v>3550</v>
      </c>
      <c r="F207" s="0" t="s">
        <v>3051</v>
      </c>
      <c r="G207" s="0" t="s">
        <v>3551</v>
      </c>
    </row>
    <row customHeight="1" ht="11.25">
      <c r="A208" s="0" t="s">
        <v>16</v>
      </c>
      <c r="B208" s="0" t="s">
        <v>3520</v>
      </c>
      <c r="C208" s="0" t="s">
        <v>3521</v>
      </c>
      <c r="D208" s="0" t="s">
        <v>3552</v>
      </c>
      <c r="E208" s="0" t="s">
        <v>3553</v>
      </c>
      <c r="F208" s="0" t="s">
        <v>3121</v>
      </c>
      <c r="G208" s="0" t="s">
        <v>3554</v>
      </c>
    </row>
    <row customHeight="1" ht="11.25">
      <c r="A209" s="0" t="s">
        <v>16</v>
      </c>
      <c r="B209" s="0" t="s">
        <v>3555</v>
      </c>
      <c r="C209" s="0" t="s">
        <v>3556</v>
      </c>
      <c r="D209" s="0" t="s">
        <v>3557</v>
      </c>
      <c r="E209" s="0" t="s">
        <v>3558</v>
      </c>
      <c r="F209" s="0" t="s">
        <v>3051</v>
      </c>
      <c r="G209" s="0" t="s">
        <v>3559</v>
      </c>
    </row>
    <row customHeight="1" ht="11.25">
      <c r="A210" s="0" t="s">
        <v>16</v>
      </c>
      <c r="B210" s="0" t="s">
        <v>3555</v>
      </c>
      <c r="C210" s="0" t="s">
        <v>3556</v>
      </c>
      <c r="D210" s="0" t="s">
        <v>3560</v>
      </c>
      <c r="E210" s="0" t="s">
        <v>3561</v>
      </c>
      <c r="F210" s="0" t="s">
        <v>3051</v>
      </c>
      <c r="G210" s="0" t="s">
        <v>3562</v>
      </c>
    </row>
    <row customHeight="1" ht="11.25">
      <c r="A211" s="0" t="s">
        <v>16</v>
      </c>
      <c r="B211" s="0" t="s">
        <v>3555</v>
      </c>
      <c r="C211" s="0" t="s">
        <v>3556</v>
      </c>
      <c r="D211" s="0" t="s">
        <v>3563</v>
      </c>
      <c r="E211" s="0" t="s">
        <v>3564</v>
      </c>
      <c r="F211" s="0" t="s">
        <v>3051</v>
      </c>
      <c r="G211" s="0" t="s">
        <v>3565</v>
      </c>
    </row>
    <row customHeight="1" ht="11.25">
      <c r="A212" s="0" t="s">
        <v>16</v>
      </c>
      <c r="B212" s="0" t="s">
        <v>3555</v>
      </c>
      <c r="C212" s="0" t="s">
        <v>3556</v>
      </c>
      <c r="D212" s="0" t="s">
        <v>3566</v>
      </c>
      <c r="E212" s="0" t="s">
        <v>3567</v>
      </c>
      <c r="F212" s="0" t="s">
        <v>3051</v>
      </c>
      <c r="G212" s="0" t="s">
        <v>3568</v>
      </c>
    </row>
    <row customHeight="1" ht="11.25">
      <c r="A213" s="0" t="s">
        <v>16</v>
      </c>
      <c r="B213" s="0" t="s">
        <v>3555</v>
      </c>
      <c r="C213" s="0" t="s">
        <v>3556</v>
      </c>
      <c r="D213" s="0" t="s">
        <v>3569</v>
      </c>
      <c r="E213" s="0" t="s">
        <v>3570</v>
      </c>
      <c r="F213" s="0" t="s">
        <v>3051</v>
      </c>
      <c r="G213" s="0" t="s">
        <v>3571</v>
      </c>
    </row>
    <row customHeight="1" ht="11.25">
      <c r="A214" s="0" t="s">
        <v>16</v>
      </c>
      <c r="B214" s="0" t="s">
        <v>3555</v>
      </c>
      <c r="C214" s="0" t="s">
        <v>3556</v>
      </c>
      <c r="D214" s="0" t="s">
        <v>3572</v>
      </c>
      <c r="E214" s="0" t="s">
        <v>3573</v>
      </c>
      <c r="F214" s="0" t="s">
        <v>3051</v>
      </c>
      <c r="G214" s="0" t="s">
        <v>3574</v>
      </c>
    </row>
    <row customHeight="1" ht="11.25">
      <c r="A215" s="0" t="s">
        <v>16</v>
      </c>
      <c r="B215" s="0" t="s">
        <v>3555</v>
      </c>
      <c r="C215" s="0" t="s">
        <v>3556</v>
      </c>
      <c r="D215" s="0" t="s">
        <v>3575</v>
      </c>
      <c r="E215" s="0" t="s">
        <v>3576</v>
      </c>
      <c r="F215" s="0" t="s">
        <v>3051</v>
      </c>
      <c r="G215" s="0" t="s">
        <v>3577</v>
      </c>
    </row>
    <row customHeight="1" ht="11.25">
      <c r="A216" s="0" t="s">
        <v>16</v>
      </c>
      <c r="B216" s="0" t="s">
        <v>3555</v>
      </c>
      <c r="C216" s="0" t="s">
        <v>3556</v>
      </c>
      <c r="D216" s="0" t="s">
        <v>3555</v>
      </c>
      <c r="E216" s="0" t="s">
        <v>3556</v>
      </c>
      <c r="F216" s="0" t="s">
        <v>3052</v>
      </c>
      <c r="G216" s="0" t="s">
        <v>3578</v>
      </c>
    </row>
    <row customHeight="1" ht="11.25">
      <c r="A217" s="0" t="s">
        <v>16</v>
      </c>
      <c r="B217" s="0" t="s">
        <v>3555</v>
      </c>
      <c r="C217" s="0" t="s">
        <v>3556</v>
      </c>
      <c r="D217" s="0" t="s">
        <v>3579</v>
      </c>
      <c r="E217" s="0" t="s">
        <v>3580</v>
      </c>
      <c r="F217" s="0" t="s">
        <v>3121</v>
      </c>
      <c r="G217" s="0" t="s">
        <v>3581</v>
      </c>
    </row>
    <row customHeight="1" ht="11.25">
      <c r="A218" s="0" t="s">
        <v>16</v>
      </c>
      <c r="B218" s="0" t="s">
        <v>3582</v>
      </c>
      <c r="C218" s="0" t="s">
        <v>3583</v>
      </c>
      <c r="D218" s="0" t="s">
        <v>3584</v>
      </c>
      <c r="E218" s="0" t="s">
        <v>3585</v>
      </c>
      <c r="F218" s="0" t="s">
        <v>3051</v>
      </c>
      <c r="G218" s="0" t="s">
        <v>3586</v>
      </c>
    </row>
    <row customHeight="1" ht="11.25">
      <c r="A219" s="0" t="s">
        <v>16</v>
      </c>
      <c r="B219" s="0" t="s">
        <v>3582</v>
      </c>
      <c r="C219" s="0" t="s">
        <v>3583</v>
      </c>
      <c r="D219" s="0" t="s">
        <v>3267</v>
      </c>
      <c r="E219" s="0" t="s">
        <v>3587</v>
      </c>
      <c r="F219" s="0" t="s">
        <v>3051</v>
      </c>
      <c r="G219" s="0" t="s">
        <v>3588</v>
      </c>
    </row>
    <row customHeight="1" ht="11.25">
      <c r="A220" s="0" t="s">
        <v>16</v>
      </c>
      <c r="B220" s="0" t="s">
        <v>3582</v>
      </c>
      <c r="C220" s="0" t="s">
        <v>3583</v>
      </c>
      <c r="D220" s="0" t="s">
        <v>3589</v>
      </c>
      <c r="E220" s="0" t="s">
        <v>3590</v>
      </c>
      <c r="F220" s="0" t="s">
        <v>3051</v>
      </c>
      <c r="G220" s="0" t="s">
        <v>3591</v>
      </c>
    </row>
    <row customHeight="1" ht="11.25">
      <c r="A221" s="0" t="s">
        <v>16</v>
      </c>
      <c r="B221" s="0" t="s">
        <v>3582</v>
      </c>
      <c r="C221" s="0" t="s">
        <v>3583</v>
      </c>
      <c r="D221" s="0" t="s">
        <v>3582</v>
      </c>
      <c r="E221" s="0" t="s">
        <v>3583</v>
      </c>
      <c r="F221" s="0" t="s">
        <v>3052</v>
      </c>
      <c r="G221" s="0" t="s">
        <v>3592</v>
      </c>
    </row>
    <row customHeight="1" ht="11.25">
      <c r="A222" s="0" t="s">
        <v>16</v>
      </c>
      <c r="B222" s="0" t="s">
        <v>3582</v>
      </c>
      <c r="C222" s="0" t="s">
        <v>3583</v>
      </c>
      <c r="D222" s="0" t="s">
        <v>3593</v>
      </c>
      <c r="E222" s="0" t="s">
        <v>3594</v>
      </c>
      <c r="F222" s="0" t="s">
        <v>3051</v>
      </c>
      <c r="G222" s="0" t="s">
        <v>3595</v>
      </c>
    </row>
    <row customHeight="1" ht="11.25">
      <c r="A223" s="0" t="s">
        <v>16</v>
      </c>
      <c r="B223" s="0" t="s">
        <v>3582</v>
      </c>
      <c r="C223" s="0" t="s">
        <v>3583</v>
      </c>
      <c r="D223" s="0" t="s">
        <v>3596</v>
      </c>
      <c r="E223" s="0" t="s">
        <v>3597</v>
      </c>
      <c r="F223" s="0" t="s">
        <v>3051</v>
      </c>
      <c r="G223" s="0" t="s">
        <v>3598</v>
      </c>
    </row>
    <row customHeight="1" ht="11.25">
      <c r="A224" s="0" t="s">
        <v>16</v>
      </c>
      <c r="B224" s="0" t="s">
        <v>3582</v>
      </c>
      <c r="C224" s="0" t="s">
        <v>3583</v>
      </c>
      <c r="D224" s="0" t="s">
        <v>3599</v>
      </c>
      <c r="E224" s="0" t="s">
        <v>3600</v>
      </c>
      <c r="F224" s="0" t="s">
        <v>3051</v>
      </c>
      <c r="G224" s="0" t="s">
        <v>3601</v>
      </c>
    </row>
    <row customHeight="1" ht="11.25">
      <c r="A225" s="0" t="s">
        <v>16</v>
      </c>
      <c r="B225" s="0" t="s">
        <v>3582</v>
      </c>
      <c r="C225" s="0" t="s">
        <v>3583</v>
      </c>
      <c r="D225" s="0" t="s">
        <v>3602</v>
      </c>
      <c r="E225" s="0" t="s">
        <v>3603</v>
      </c>
      <c r="F225" s="0" t="s">
        <v>3051</v>
      </c>
      <c r="G225" s="0" t="s">
        <v>3604</v>
      </c>
    </row>
    <row customHeight="1" ht="11.25">
      <c r="A226" s="0" t="s">
        <v>16</v>
      </c>
      <c r="B226" s="0" t="s">
        <v>3582</v>
      </c>
      <c r="C226" s="0" t="s">
        <v>3583</v>
      </c>
      <c r="D226" s="0" t="s">
        <v>3605</v>
      </c>
      <c r="E226" s="0" t="s">
        <v>3606</v>
      </c>
      <c r="F226" s="0" t="s">
        <v>3051</v>
      </c>
      <c r="G226" s="0" t="s">
        <v>3607</v>
      </c>
    </row>
    <row customHeight="1" ht="11.25">
      <c r="A227" s="0" t="s">
        <v>16</v>
      </c>
      <c r="B227" s="0" t="s">
        <v>3582</v>
      </c>
      <c r="C227" s="0" t="s">
        <v>3583</v>
      </c>
      <c r="D227" s="0" t="s">
        <v>3608</v>
      </c>
      <c r="E227" s="0" t="s">
        <v>3609</v>
      </c>
      <c r="F227" s="0" t="s">
        <v>3121</v>
      </c>
      <c r="G227" s="0" t="s">
        <v>3610</v>
      </c>
    </row>
    <row customHeight="1" ht="11.25">
      <c r="A228" s="0" t="s">
        <v>16</v>
      </c>
      <c r="B228" s="0" t="s">
        <v>3582</v>
      </c>
      <c r="C228" s="0" t="s">
        <v>3583</v>
      </c>
      <c r="D228" s="0" t="s">
        <v>3611</v>
      </c>
      <c r="E228" s="0" t="s">
        <v>3612</v>
      </c>
      <c r="F228" s="0" t="s">
        <v>3121</v>
      </c>
      <c r="G228" s="0" t="s">
        <v>3613</v>
      </c>
    </row>
    <row customHeight="1" ht="11.25">
      <c r="A229" s="0" t="s">
        <v>16</v>
      </c>
      <c r="B229" s="0" t="s">
        <v>3614</v>
      </c>
      <c r="C229" s="0" t="s">
        <v>3615</v>
      </c>
      <c r="D229" s="0" t="s">
        <v>3616</v>
      </c>
      <c r="E229" s="0" t="s">
        <v>3617</v>
      </c>
      <c r="F229" s="0" t="s">
        <v>3051</v>
      </c>
      <c r="G229" s="0" t="s">
        <v>3618</v>
      </c>
    </row>
    <row customHeight="1" ht="11.25">
      <c r="A230" s="0" t="s">
        <v>16</v>
      </c>
      <c r="B230" s="0" t="s">
        <v>3614</v>
      </c>
      <c r="C230" s="0" t="s">
        <v>3615</v>
      </c>
      <c r="D230" s="0" t="s">
        <v>3619</v>
      </c>
      <c r="E230" s="0" t="s">
        <v>3620</v>
      </c>
      <c r="F230" s="0" t="s">
        <v>3051</v>
      </c>
      <c r="G230" s="0" t="s">
        <v>3621</v>
      </c>
    </row>
    <row customHeight="1" ht="11.25">
      <c r="A231" s="0" t="s">
        <v>16</v>
      </c>
      <c r="B231" s="0" t="s">
        <v>3614</v>
      </c>
      <c r="C231" s="0" t="s">
        <v>3615</v>
      </c>
      <c r="D231" s="0" t="s">
        <v>3622</v>
      </c>
      <c r="E231" s="0" t="s">
        <v>3623</v>
      </c>
      <c r="F231" s="0" t="s">
        <v>3051</v>
      </c>
      <c r="G231" s="0" t="s">
        <v>3624</v>
      </c>
    </row>
    <row customHeight="1" ht="11.25">
      <c r="A232" s="0" t="s">
        <v>16</v>
      </c>
      <c r="B232" s="0" t="s">
        <v>3614</v>
      </c>
      <c r="C232" s="0" t="s">
        <v>3615</v>
      </c>
      <c r="D232" s="0" t="s">
        <v>3625</v>
      </c>
      <c r="E232" s="0" t="s">
        <v>3626</v>
      </c>
      <c r="F232" s="0" t="s">
        <v>3051</v>
      </c>
      <c r="G232" s="0" t="s">
        <v>3627</v>
      </c>
    </row>
    <row customHeight="1" ht="11.25">
      <c r="A233" s="0" t="s">
        <v>16</v>
      </c>
      <c r="B233" s="0" t="s">
        <v>3614</v>
      </c>
      <c r="C233" s="0" t="s">
        <v>3615</v>
      </c>
      <c r="D233" s="0" t="s">
        <v>3628</v>
      </c>
      <c r="E233" s="0" t="s">
        <v>3629</v>
      </c>
      <c r="F233" s="0" t="s">
        <v>3051</v>
      </c>
      <c r="G233" s="0" t="s">
        <v>3630</v>
      </c>
    </row>
    <row customHeight="1" ht="11.25">
      <c r="A234" s="0" t="s">
        <v>16</v>
      </c>
      <c r="B234" s="0" t="s">
        <v>3614</v>
      </c>
      <c r="C234" s="0" t="s">
        <v>3615</v>
      </c>
      <c r="D234" s="0" t="s">
        <v>3631</v>
      </c>
      <c r="E234" s="0" t="s">
        <v>3632</v>
      </c>
      <c r="F234" s="0" t="s">
        <v>3051</v>
      </c>
      <c r="G234" s="0" t="s">
        <v>3633</v>
      </c>
    </row>
    <row customHeight="1" ht="11.25">
      <c r="A235" s="0" t="s">
        <v>16</v>
      </c>
      <c r="B235" s="0" t="s">
        <v>3614</v>
      </c>
      <c r="C235" s="0" t="s">
        <v>3615</v>
      </c>
      <c r="D235" s="0" t="s">
        <v>3197</v>
      </c>
      <c r="E235" s="0" t="s">
        <v>3634</v>
      </c>
      <c r="F235" s="0" t="s">
        <v>3051</v>
      </c>
      <c r="G235" s="0" t="s">
        <v>3635</v>
      </c>
    </row>
    <row customHeight="1" ht="11.25">
      <c r="A236" s="0" t="s">
        <v>16</v>
      </c>
      <c r="B236" s="0" t="s">
        <v>3614</v>
      </c>
      <c r="C236" s="0" t="s">
        <v>3615</v>
      </c>
      <c r="D236" s="0" t="s">
        <v>3636</v>
      </c>
      <c r="E236" s="0" t="s">
        <v>3637</v>
      </c>
      <c r="F236" s="0" t="s">
        <v>3051</v>
      </c>
      <c r="G236" s="0" t="s">
        <v>3638</v>
      </c>
    </row>
    <row customHeight="1" ht="11.25">
      <c r="A237" s="0" t="s">
        <v>16</v>
      </c>
      <c r="B237" s="0" t="s">
        <v>3614</v>
      </c>
      <c r="C237" s="0" t="s">
        <v>3615</v>
      </c>
      <c r="D237" s="0" t="s">
        <v>3639</v>
      </c>
      <c r="E237" s="0" t="s">
        <v>3640</v>
      </c>
      <c r="F237" s="0" t="s">
        <v>3051</v>
      </c>
      <c r="G237" s="0" t="s">
        <v>3641</v>
      </c>
    </row>
    <row customHeight="1" ht="11.25">
      <c r="A238" s="0" t="s">
        <v>16</v>
      </c>
      <c r="B238" s="0" t="s">
        <v>3614</v>
      </c>
      <c r="C238" s="0" t="s">
        <v>3615</v>
      </c>
      <c r="D238" s="0" t="s">
        <v>3642</v>
      </c>
      <c r="E238" s="0" t="s">
        <v>3643</v>
      </c>
      <c r="F238" s="0" t="s">
        <v>3051</v>
      </c>
      <c r="G238" s="0" t="s">
        <v>3644</v>
      </c>
    </row>
    <row customHeight="1" ht="11.25">
      <c r="A239" s="0" t="s">
        <v>16</v>
      </c>
      <c r="B239" s="0" t="s">
        <v>3614</v>
      </c>
      <c r="C239" s="0" t="s">
        <v>3615</v>
      </c>
      <c r="D239" s="0" t="s">
        <v>3645</v>
      </c>
      <c r="E239" s="0" t="s">
        <v>3646</v>
      </c>
      <c r="F239" s="0" t="s">
        <v>3051</v>
      </c>
      <c r="G239" s="0" t="s">
        <v>3647</v>
      </c>
    </row>
    <row customHeight="1" ht="11.25">
      <c r="A240" s="0" t="s">
        <v>16</v>
      </c>
      <c r="B240" s="0" t="s">
        <v>3614</v>
      </c>
      <c r="C240" s="0" t="s">
        <v>3615</v>
      </c>
      <c r="D240" s="0" t="s">
        <v>3648</v>
      </c>
      <c r="E240" s="0" t="s">
        <v>3649</v>
      </c>
      <c r="F240" s="0" t="s">
        <v>3051</v>
      </c>
      <c r="G240" s="0" t="s">
        <v>3650</v>
      </c>
    </row>
    <row customHeight="1" ht="11.25">
      <c r="A241" s="0" t="s">
        <v>16</v>
      </c>
      <c r="B241" s="0" t="s">
        <v>3614</v>
      </c>
      <c r="C241" s="0" t="s">
        <v>3615</v>
      </c>
      <c r="D241" s="0" t="s">
        <v>3614</v>
      </c>
      <c r="E241" s="0" t="s">
        <v>3615</v>
      </c>
      <c r="F241" s="0" t="s">
        <v>3052</v>
      </c>
      <c r="G241" s="0" t="s">
        <v>3651</v>
      </c>
    </row>
    <row customHeight="1" ht="11.25">
      <c r="A242" s="0" t="s">
        <v>16</v>
      </c>
      <c r="B242" s="0" t="s">
        <v>3614</v>
      </c>
      <c r="C242" s="0" t="s">
        <v>3615</v>
      </c>
      <c r="D242" s="0" t="s">
        <v>3208</v>
      </c>
      <c r="E242" s="0" t="s">
        <v>3652</v>
      </c>
      <c r="F242" s="0" t="s">
        <v>3051</v>
      </c>
      <c r="G242" s="0" t="s">
        <v>3653</v>
      </c>
    </row>
    <row customHeight="1" ht="11.25">
      <c r="A243" s="0" t="s">
        <v>16</v>
      </c>
      <c r="B243" s="0" t="s">
        <v>3614</v>
      </c>
      <c r="C243" s="0" t="s">
        <v>3615</v>
      </c>
      <c r="D243" s="0" t="s">
        <v>3654</v>
      </c>
      <c r="E243" s="0" t="s">
        <v>3655</v>
      </c>
      <c r="F243" s="0" t="s">
        <v>3051</v>
      </c>
      <c r="G243" s="0" t="s">
        <v>3656</v>
      </c>
    </row>
    <row customHeight="1" ht="11.25">
      <c r="A244" s="0" t="s">
        <v>16</v>
      </c>
      <c r="B244" s="0" t="s">
        <v>3614</v>
      </c>
      <c r="C244" s="0" t="s">
        <v>3615</v>
      </c>
      <c r="D244" s="0" t="s">
        <v>3657</v>
      </c>
      <c r="E244" s="0" t="s">
        <v>3658</v>
      </c>
      <c r="F244" s="0" t="s">
        <v>3176</v>
      </c>
      <c r="G244" s="0" t="s">
        <v>3659</v>
      </c>
    </row>
    <row customHeight="1" ht="11.25">
      <c r="A245" s="0" t="s">
        <v>16</v>
      </c>
      <c r="B245" s="0" t="s">
        <v>3660</v>
      </c>
      <c r="C245" s="0" t="s">
        <v>3661</v>
      </c>
      <c r="D245" s="0" t="s">
        <v>3662</v>
      </c>
      <c r="E245" s="0" t="s">
        <v>3663</v>
      </c>
      <c r="F245" s="0" t="s">
        <v>3051</v>
      </c>
      <c r="G245" s="0" t="s">
        <v>3664</v>
      </c>
    </row>
    <row customHeight="1" ht="11.25">
      <c r="A246" s="0" t="s">
        <v>16</v>
      </c>
      <c r="B246" s="0" t="s">
        <v>3660</v>
      </c>
      <c r="C246" s="0" t="s">
        <v>3661</v>
      </c>
      <c r="D246" s="0" t="s">
        <v>3665</v>
      </c>
      <c r="E246" s="0" t="s">
        <v>3666</v>
      </c>
      <c r="F246" s="0" t="s">
        <v>3051</v>
      </c>
      <c r="G246" s="0" t="s">
        <v>3667</v>
      </c>
    </row>
    <row customHeight="1" ht="11.25">
      <c r="A247" s="0" t="s">
        <v>16</v>
      </c>
      <c r="B247" s="0" t="s">
        <v>3660</v>
      </c>
      <c r="C247" s="0" t="s">
        <v>3661</v>
      </c>
      <c r="D247" s="0" t="s">
        <v>3668</v>
      </c>
      <c r="E247" s="0" t="s">
        <v>3669</v>
      </c>
      <c r="F247" s="0" t="s">
        <v>3051</v>
      </c>
      <c r="G247" s="0" t="s">
        <v>3670</v>
      </c>
    </row>
    <row customHeight="1" ht="11.25">
      <c r="A248" s="0" t="s">
        <v>16</v>
      </c>
      <c r="B248" s="0" t="s">
        <v>3660</v>
      </c>
      <c r="C248" s="0" t="s">
        <v>3661</v>
      </c>
      <c r="D248" s="0" t="s">
        <v>3270</v>
      </c>
      <c r="E248" s="0" t="s">
        <v>3671</v>
      </c>
      <c r="F248" s="0" t="s">
        <v>3051</v>
      </c>
      <c r="G248" s="0" t="s">
        <v>3672</v>
      </c>
    </row>
    <row customHeight="1" ht="11.25">
      <c r="A249" s="0" t="s">
        <v>16</v>
      </c>
      <c r="B249" s="0" t="s">
        <v>3660</v>
      </c>
      <c r="C249" s="0" t="s">
        <v>3661</v>
      </c>
      <c r="D249" s="0" t="s">
        <v>3673</v>
      </c>
      <c r="E249" s="0" t="s">
        <v>3674</v>
      </c>
      <c r="F249" s="0" t="s">
        <v>3051</v>
      </c>
      <c r="G249" s="0" t="s">
        <v>3675</v>
      </c>
    </row>
    <row customHeight="1" ht="11.25">
      <c r="A250" s="0" t="s">
        <v>16</v>
      </c>
      <c r="B250" s="0" t="s">
        <v>3660</v>
      </c>
      <c r="C250" s="0" t="s">
        <v>3661</v>
      </c>
      <c r="D250" s="0" t="s">
        <v>3279</v>
      </c>
      <c r="E250" s="0" t="s">
        <v>3676</v>
      </c>
      <c r="F250" s="0" t="s">
        <v>3051</v>
      </c>
      <c r="G250" s="0" t="s">
        <v>3677</v>
      </c>
    </row>
    <row customHeight="1" ht="11.25">
      <c r="A251" s="0" t="s">
        <v>16</v>
      </c>
      <c r="B251" s="0" t="s">
        <v>3660</v>
      </c>
      <c r="C251" s="0" t="s">
        <v>3661</v>
      </c>
      <c r="D251" s="0" t="s">
        <v>3678</v>
      </c>
      <c r="E251" s="0" t="s">
        <v>3679</v>
      </c>
      <c r="F251" s="0" t="s">
        <v>3051</v>
      </c>
      <c r="G251" s="0" t="s">
        <v>3680</v>
      </c>
    </row>
    <row customHeight="1" ht="11.25">
      <c r="A252" s="0" t="s">
        <v>16</v>
      </c>
      <c r="B252" s="0" t="s">
        <v>3660</v>
      </c>
      <c r="C252" s="0" t="s">
        <v>3661</v>
      </c>
      <c r="D252" s="0" t="s">
        <v>3681</v>
      </c>
      <c r="E252" s="0" t="s">
        <v>3682</v>
      </c>
      <c r="F252" s="0" t="s">
        <v>3051</v>
      </c>
      <c r="G252" s="0" t="s">
        <v>3683</v>
      </c>
    </row>
    <row customHeight="1" ht="11.25">
      <c r="A253" s="0" t="s">
        <v>16</v>
      </c>
      <c r="B253" s="0" t="s">
        <v>3660</v>
      </c>
      <c r="C253" s="0" t="s">
        <v>3661</v>
      </c>
      <c r="D253" s="0" t="s">
        <v>3684</v>
      </c>
      <c r="E253" s="0" t="s">
        <v>3685</v>
      </c>
      <c r="F253" s="0" t="s">
        <v>3051</v>
      </c>
      <c r="G253" s="0" t="s">
        <v>3686</v>
      </c>
    </row>
    <row customHeight="1" ht="11.25">
      <c r="A254" s="0" t="s">
        <v>16</v>
      </c>
      <c r="B254" s="0" t="s">
        <v>3660</v>
      </c>
      <c r="C254" s="0" t="s">
        <v>3661</v>
      </c>
      <c r="D254" s="0" t="s">
        <v>3660</v>
      </c>
      <c r="E254" s="0" t="s">
        <v>3661</v>
      </c>
      <c r="F254" s="0" t="s">
        <v>3052</v>
      </c>
      <c r="G254" s="0" t="s">
        <v>3687</v>
      </c>
    </row>
    <row customHeight="1" ht="11.25">
      <c r="A255" s="0" t="s">
        <v>16</v>
      </c>
      <c r="B255" s="0" t="s">
        <v>3660</v>
      </c>
      <c r="C255" s="0" t="s">
        <v>3661</v>
      </c>
      <c r="D255" s="0" t="s">
        <v>3688</v>
      </c>
      <c r="E255" s="0" t="s">
        <v>3689</v>
      </c>
      <c r="F255" s="0" t="s">
        <v>3051</v>
      </c>
      <c r="G255" s="0" t="s">
        <v>3690</v>
      </c>
    </row>
    <row customHeight="1" ht="11.25">
      <c r="A256" s="0" t="s">
        <v>16</v>
      </c>
      <c r="B256" s="0" t="s">
        <v>3660</v>
      </c>
      <c r="C256" s="0" t="s">
        <v>3661</v>
      </c>
      <c r="D256" s="0" t="s">
        <v>3691</v>
      </c>
      <c r="E256" s="0" t="s">
        <v>3692</v>
      </c>
      <c r="F256" s="0" t="s">
        <v>3121</v>
      </c>
      <c r="G256" s="0" t="s">
        <v>3693</v>
      </c>
    </row>
    <row customHeight="1" ht="11.25">
      <c r="A257" s="0" t="s">
        <v>16</v>
      </c>
      <c r="B257" s="0" t="s">
        <v>3694</v>
      </c>
      <c r="C257" s="0" t="s">
        <v>3695</v>
      </c>
      <c r="D257" s="0" t="s">
        <v>3696</v>
      </c>
      <c r="E257" s="0" t="s">
        <v>3697</v>
      </c>
      <c r="F257" s="0" t="s">
        <v>3051</v>
      </c>
      <c r="G257" s="0" t="s">
        <v>3698</v>
      </c>
    </row>
    <row customHeight="1" ht="11.25">
      <c r="A258" s="0" t="s">
        <v>16</v>
      </c>
      <c r="B258" s="0" t="s">
        <v>3694</v>
      </c>
      <c r="C258" s="0" t="s">
        <v>3695</v>
      </c>
      <c r="D258" s="0" t="s">
        <v>3699</v>
      </c>
      <c r="E258" s="0" t="s">
        <v>3700</v>
      </c>
      <c r="F258" s="0" t="s">
        <v>3051</v>
      </c>
      <c r="G258" s="0" t="s">
        <v>3701</v>
      </c>
    </row>
    <row customHeight="1" ht="11.25">
      <c r="A259" s="0" t="s">
        <v>16</v>
      </c>
      <c r="B259" s="0" t="s">
        <v>3694</v>
      </c>
      <c r="C259" s="0" t="s">
        <v>3695</v>
      </c>
      <c r="D259" s="0" t="s">
        <v>3622</v>
      </c>
      <c r="E259" s="0" t="s">
        <v>3702</v>
      </c>
      <c r="F259" s="0" t="s">
        <v>3051</v>
      </c>
      <c r="G259" s="0" t="s">
        <v>3703</v>
      </c>
    </row>
    <row customHeight="1" ht="11.25">
      <c r="A260" s="0" t="s">
        <v>16</v>
      </c>
      <c r="B260" s="0" t="s">
        <v>3694</v>
      </c>
      <c r="C260" s="0" t="s">
        <v>3695</v>
      </c>
      <c r="D260" s="0" t="s">
        <v>3694</v>
      </c>
      <c r="E260" s="0" t="s">
        <v>3695</v>
      </c>
      <c r="F260" s="0" t="s">
        <v>3052</v>
      </c>
      <c r="G260" s="0" t="s">
        <v>3704</v>
      </c>
    </row>
    <row customHeight="1" ht="11.25">
      <c r="A261" s="0" t="s">
        <v>16</v>
      </c>
      <c r="B261" s="0" t="s">
        <v>3694</v>
      </c>
      <c r="C261" s="0" t="s">
        <v>3695</v>
      </c>
      <c r="D261" s="0" t="s">
        <v>3705</v>
      </c>
      <c r="E261" s="0" t="s">
        <v>3706</v>
      </c>
      <c r="F261" s="0" t="s">
        <v>3051</v>
      </c>
      <c r="G261" s="0" t="s">
        <v>3707</v>
      </c>
    </row>
    <row customHeight="1" ht="11.25">
      <c r="A262" s="0" t="s">
        <v>16</v>
      </c>
      <c r="B262" s="0" t="s">
        <v>3694</v>
      </c>
      <c r="C262" s="0" t="s">
        <v>3695</v>
      </c>
      <c r="D262" s="0" t="s">
        <v>3708</v>
      </c>
      <c r="E262" s="0" t="s">
        <v>3709</v>
      </c>
      <c r="F262" s="0" t="s">
        <v>3051</v>
      </c>
      <c r="G262" s="0" t="s">
        <v>3710</v>
      </c>
    </row>
    <row customHeight="1" ht="11.25">
      <c r="A263" s="0" t="s">
        <v>16</v>
      </c>
      <c r="B263" s="0" t="s">
        <v>3694</v>
      </c>
      <c r="C263" s="0" t="s">
        <v>3695</v>
      </c>
      <c r="D263" s="0" t="s">
        <v>174</v>
      </c>
      <c r="E263" s="0" t="s">
        <v>3711</v>
      </c>
      <c r="F263" s="0" t="s">
        <v>3051</v>
      </c>
      <c r="G263" s="0" t="s">
        <v>3712</v>
      </c>
    </row>
    <row customHeight="1" ht="11.25">
      <c r="A264" s="0" t="s">
        <v>16</v>
      </c>
      <c r="B264" s="0" t="s">
        <v>3694</v>
      </c>
      <c r="C264" s="0" t="s">
        <v>3695</v>
      </c>
      <c r="D264" s="0" t="s">
        <v>3713</v>
      </c>
      <c r="E264" s="0" t="s">
        <v>3714</v>
      </c>
      <c r="F264" s="0" t="s">
        <v>3121</v>
      </c>
      <c r="G264" s="0" t="s">
        <v>3715</v>
      </c>
    </row>
    <row customHeight="1" ht="11.25">
      <c r="A265" s="0" t="s">
        <v>16</v>
      </c>
      <c r="B265" s="0" t="s">
        <v>3716</v>
      </c>
      <c r="C265" s="0" t="s">
        <v>3717</v>
      </c>
      <c r="D265" s="0" t="s">
        <v>3718</v>
      </c>
      <c r="E265" s="0" t="s">
        <v>3719</v>
      </c>
      <c r="F265" s="0" t="s">
        <v>3051</v>
      </c>
      <c r="G265" s="0" t="s">
        <v>3720</v>
      </c>
    </row>
    <row customHeight="1" ht="11.25">
      <c r="A266" s="0" t="s">
        <v>16</v>
      </c>
      <c r="B266" s="0" t="s">
        <v>3716</v>
      </c>
      <c r="C266" s="0" t="s">
        <v>3717</v>
      </c>
      <c r="D266" s="0" t="s">
        <v>3721</v>
      </c>
      <c r="E266" s="0" t="s">
        <v>3722</v>
      </c>
      <c r="F266" s="0" t="s">
        <v>3051</v>
      </c>
      <c r="G266" s="0" t="s">
        <v>3723</v>
      </c>
    </row>
    <row customHeight="1" ht="11.25">
      <c r="A267" s="0" t="s">
        <v>16</v>
      </c>
      <c r="B267" s="0" t="s">
        <v>3716</v>
      </c>
      <c r="C267" s="0" t="s">
        <v>3717</v>
      </c>
      <c r="D267" s="0" t="s">
        <v>3724</v>
      </c>
      <c r="E267" s="0" t="s">
        <v>3725</v>
      </c>
      <c r="F267" s="0" t="s">
        <v>3051</v>
      </c>
      <c r="G267" s="0" t="s">
        <v>3726</v>
      </c>
    </row>
    <row customHeight="1" ht="11.25">
      <c r="A268" s="0" t="s">
        <v>16</v>
      </c>
      <c r="B268" s="0" t="s">
        <v>3716</v>
      </c>
      <c r="C268" s="0" t="s">
        <v>3717</v>
      </c>
      <c r="D268" s="0" t="s">
        <v>3727</v>
      </c>
      <c r="E268" s="0" t="s">
        <v>3728</v>
      </c>
      <c r="F268" s="0" t="s">
        <v>3051</v>
      </c>
      <c r="G268" s="0" t="s">
        <v>3729</v>
      </c>
    </row>
    <row customHeight="1" ht="11.25">
      <c r="A269" s="0" t="s">
        <v>16</v>
      </c>
      <c r="B269" s="0" t="s">
        <v>3716</v>
      </c>
      <c r="C269" s="0" t="s">
        <v>3717</v>
      </c>
      <c r="D269" s="0" t="s">
        <v>3730</v>
      </c>
      <c r="E269" s="0" t="s">
        <v>3731</v>
      </c>
      <c r="F269" s="0" t="s">
        <v>3051</v>
      </c>
      <c r="G269" s="0" t="s">
        <v>3732</v>
      </c>
    </row>
    <row customHeight="1" ht="11.25">
      <c r="A270" s="0" t="s">
        <v>16</v>
      </c>
      <c r="B270" s="0" t="s">
        <v>3716</v>
      </c>
      <c r="C270" s="0" t="s">
        <v>3717</v>
      </c>
      <c r="D270" s="0" t="s">
        <v>3733</v>
      </c>
      <c r="E270" s="0" t="s">
        <v>3734</v>
      </c>
      <c r="F270" s="0" t="s">
        <v>3051</v>
      </c>
      <c r="G270" s="0" t="s">
        <v>3735</v>
      </c>
    </row>
    <row customHeight="1" ht="11.25">
      <c r="A271" s="0" t="s">
        <v>16</v>
      </c>
      <c r="B271" s="0" t="s">
        <v>3716</v>
      </c>
      <c r="C271" s="0" t="s">
        <v>3717</v>
      </c>
      <c r="D271" s="0" t="s">
        <v>3736</v>
      </c>
      <c r="E271" s="0" t="s">
        <v>3737</v>
      </c>
      <c r="F271" s="0" t="s">
        <v>3051</v>
      </c>
      <c r="G271" s="0" t="s">
        <v>3738</v>
      </c>
    </row>
    <row customHeight="1" ht="11.25">
      <c r="A272" s="0" t="s">
        <v>16</v>
      </c>
      <c r="B272" s="0" t="s">
        <v>3716</v>
      </c>
      <c r="C272" s="0" t="s">
        <v>3717</v>
      </c>
      <c r="D272" s="0" t="s">
        <v>3739</v>
      </c>
      <c r="E272" s="0" t="s">
        <v>3740</v>
      </c>
      <c r="F272" s="0" t="s">
        <v>3051</v>
      </c>
      <c r="G272" s="0" t="s">
        <v>3741</v>
      </c>
    </row>
    <row customHeight="1" ht="11.25">
      <c r="A273" s="0" t="s">
        <v>16</v>
      </c>
      <c r="B273" s="0" t="s">
        <v>3716</v>
      </c>
      <c r="C273" s="0" t="s">
        <v>3717</v>
      </c>
      <c r="D273" s="0" t="s">
        <v>3742</v>
      </c>
      <c r="E273" s="0" t="s">
        <v>3743</v>
      </c>
      <c r="F273" s="0" t="s">
        <v>3051</v>
      </c>
      <c r="G273" s="0" t="s">
        <v>3744</v>
      </c>
    </row>
    <row customHeight="1" ht="11.25">
      <c r="A274" s="0" t="s">
        <v>16</v>
      </c>
      <c r="B274" s="0" t="s">
        <v>3716</v>
      </c>
      <c r="C274" s="0" t="s">
        <v>3717</v>
      </c>
      <c r="D274" s="0" t="s">
        <v>3745</v>
      </c>
      <c r="E274" s="0" t="s">
        <v>3746</v>
      </c>
      <c r="F274" s="0" t="s">
        <v>3051</v>
      </c>
      <c r="G274" s="0" t="s">
        <v>3747</v>
      </c>
    </row>
    <row customHeight="1" ht="11.25">
      <c r="A275" s="0" t="s">
        <v>16</v>
      </c>
      <c r="B275" s="0" t="s">
        <v>3716</v>
      </c>
      <c r="C275" s="0" t="s">
        <v>3717</v>
      </c>
      <c r="D275" s="0" t="s">
        <v>3748</v>
      </c>
      <c r="E275" s="0" t="s">
        <v>3749</v>
      </c>
      <c r="F275" s="0" t="s">
        <v>3051</v>
      </c>
      <c r="G275" s="0" t="s">
        <v>3750</v>
      </c>
    </row>
    <row customHeight="1" ht="11.25">
      <c r="A276" s="0" t="s">
        <v>16</v>
      </c>
      <c r="B276" s="0" t="s">
        <v>3716</v>
      </c>
      <c r="C276" s="0" t="s">
        <v>3717</v>
      </c>
      <c r="D276" s="0" t="s">
        <v>3751</v>
      </c>
      <c r="E276" s="0" t="s">
        <v>3752</v>
      </c>
      <c r="F276" s="0" t="s">
        <v>3051</v>
      </c>
      <c r="G276" s="0" t="s">
        <v>3753</v>
      </c>
    </row>
    <row customHeight="1" ht="11.25">
      <c r="A277" s="0" t="s">
        <v>16</v>
      </c>
      <c r="B277" s="0" t="s">
        <v>3716</v>
      </c>
      <c r="C277" s="0" t="s">
        <v>3717</v>
      </c>
      <c r="D277" s="0" t="s">
        <v>3754</v>
      </c>
      <c r="E277" s="0" t="s">
        <v>3755</v>
      </c>
      <c r="F277" s="0" t="s">
        <v>3051</v>
      </c>
      <c r="G277" s="0" t="s">
        <v>3756</v>
      </c>
    </row>
    <row customHeight="1" ht="11.25">
      <c r="A278" s="0" t="s">
        <v>16</v>
      </c>
      <c r="B278" s="0" t="s">
        <v>3716</v>
      </c>
      <c r="C278" s="0" t="s">
        <v>3717</v>
      </c>
      <c r="D278" s="0" t="s">
        <v>3757</v>
      </c>
      <c r="E278" s="0" t="s">
        <v>3758</v>
      </c>
      <c r="F278" s="0" t="s">
        <v>3051</v>
      </c>
      <c r="G278" s="0" t="s">
        <v>3759</v>
      </c>
    </row>
    <row customHeight="1" ht="11.25">
      <c r="A279" s="0" t="s">
        <v>16</v>
      </c>
      <c r="B279" s="0" t="s">
        <v>3716</v>
      </c>
      <c r="C279" s="0" t="s">
        <v>3717</v>
      </c>
      <c r="D279" s="0" t="s">
        <v>3760</v>
      </c>
      <c r="E279" s="0" t="s">
        <v>3761</v>
      </c>
      <c r="F279" s="0" t="s">
        <v>3051</v>
      </c>
      <c r="G279" s="0" t="s">
        <v>3762</v>
      </c>
    </row>
    <row customHeight="1" ht="11.25">
      <c r="A280" s="0" t="s">
        <v>16</v>
      </c>
      <c r="B280" s="0" t="s">
        <v>3716</v>
      </c>
      <c r="C280" s="0" t="s">
        <v>3717</v>
      </c>
      <c r="D280" s="0" t="s">
        <v>3716</v>
      </c>
      <c r="E280" s="0" t="s">
        <v>3717</v>
      </c>
      <c r="F280" s="0" t="s">
        <v>3052</v>
      </c>
      <c r="G280" s="0" t="s">
        <v>3763</v>
      </c>
    </row>
    <row customHeight="1" ht="11.25">
      <c r="A281" s="0" t="s">
        <v>16</v>
      </c>
      <c r="B281" s="0" t="s">
        <v>3716</v>
      </c>
      <c r="C281" s="0" t="s">
        <v>3717</v>
      </c>
      <c r="D281" s="0" t="s">
        <v>3764</v>
      </c>
      <c r="E281" s="0" t="s">
        <v>3765</v>
      </c>
      <c r="F281" s="0" t="s">
        <v>3051</v>
      </c>
      <c r="G281" s="0" t="s">
        <v>3766</v>
      </c>
    </row>
    <row customHeight="1" ht="11.25">
      <c r="A282" s="0" t="s">
        <v>16</v>
      </c>
      <c r="B282" s="0" t="s">
        <v>3716</v>
      </c>
      <c r="C282" s="0" t="s">
        <v>3717</v>
      </c>
      <c r="D282" s="0" t="s">
        <v>3767</v>
      </c>
      <c r="E282" s="0" t="s">
        <v>3768</v>
      </c>
      <c r="F282" s="0" t="s">
        <v>3176</v>
      </c>
      <c r="G282" s="0" t="s">
        <v>3769</v>
      </c>
    </row>
    <row customHeight="1" ht="11.25">
      <c r="A283" s="0" t="s">
        <v>16</v>
      </c>
      <c r="B283" s="0" t="s">
        <v>3770</v>
      </c>
      <c r="C283" s="0" t="s">
        <v>3771</v>
      </c>
      <c r="D283" s="0" t="s">
        <v>3772</v>
      </c>
      <c r="E283" s="0" t="s">
        <v>3773</v>
      </c>
      <c r="F283" s="0" t="s">
        <v>3051</v>
      </c>
      <c r="G283" s="0" t="s">
        <v>3774</v>
      </c>
    </row>
    <row customHeight="1" ht="11.25">
      <c r="A284" s="0" t="s">
        <v>16</v>
      </c>
      <c r="B284" s="0" t="s">
        <v>3770</v>
      </c>
      <c r="C284" s="0" t="s">
        <v>3771</v>
      </c>
      <c r="D284" s="0" t="s">
        <v>3775</v>
      </c>
      <c r="E284" s="0" t="s">
        <v>3776</v>
      </c>
      <c r="F284" s="0" t="s">
        <v>3051</v>
      </c>
      <c r="G284" s="0" t="s">
        <v>3777</v>
      </c>
    </row>
    <row customHeight="1" ht="11.25">
      <c r="A285" s="0" t="s">
        <v>16</v>
      </c>
      <c r="B285" s="0" t="s">
        <v>3770</v>
      </c>
      <c r="C285" s="0" t="s">
        <v>3771</v>
      </c>
      <c r="D285" s="0" t="s">
        <v>3778</v>
      </c>
      <c r="E285" s="0" t="s">
        <v>3779</v>
      </c>
      <c r="F285" s="0" t="s">
        <v>3051</v>
      </c>
      <c r="G285" s="0" t="s">
        <v>3780</v>
      </c>
    </row>
    <row customHeight="1" ht="11.25">
      <c r="A286" s="0" t="s">
        <v>16</v>
      </c>
      <c r="B286" s="0" t="s">
        <v>3770</v>
      </c>
      <c r="C286" s="0" t="s">
        <v>3771</v>
      </c>
      <c r="D286" s="0" t="s">
        <v>3279</v>
      </c>
      <c r="E286" s="0" t="s">
        <v>3781</v>
      </c>
      <c r="F286" s="0" t="s">
        <v>3051</v>
      </c>
      <c r="G286" s="0" t="s">
        <v>3782</v>
      </c>
    </row>
    <row customHeight="1" ht="11.25">
      <c r="A287" s="0" t="s">
        <v>16</v>
      </c>
      <c r="B287" s="0" t="s">
        <v>3770</v>
      </c>
      <c r="C287" s="0" t="s">
        <v>3771</v>
      </c>
      <c r="D287" s="0" t="s">
        <v>3783</v>
      </c>
      <c r="E287" s="0" t="s">
        <v>3784</v>
      </c>
      <c r="F287" s="0" t="s">
        <v>3051</v>
      </c>
      <c r="G287" s="0" t="s">
        <v>3785</v>
      </c>
    </row>
    <row customHeight="1" ht="11.25">
      <c r="A288" s="0" t="s">
        <v>16</v>
      </c>
      <c r="B288" s="0" t="s">
        <v>3770</v>
      </c>
      <c r="C288" s="0" t="s">
        <v>3771</v>
      </c>
      <c r="D288" s="0" t="s">
        <v>3786</v>
      </c>
      <c r="E288" s="0" t="s">
        <v>3787</v>
      </c>
      <c r="F288" s="0" t="s">
        <v>3051</v>
      </c>
      <c r="G288" s="0" t="s">
        <v>3788</v>
      </c>
    </row>
    <row customHeight="1" ht="11.25">
      <c r="A289" s="0" t="s">
        <v>16</v>
      </c>
      <c r="B289" s="0" t="s">
        <v>3770</v>
      </c>
      <c r="C289" s="0" t="s">
        <v>3771</v>
      </c>
      <c r="D289" s="0" t="s">
        <v>3770</v>
      </c>
      <c r="E289" s="0" t="s">
        <v>3771</v>
      </c>
      <c r="F289" s="0" t="s">
        <v>3052</v>
      </c>
      <c r="G289" s="0" t="s">
        <v>3789</v>
      </c>
    </row>
    <row customHeight="1" ht="11.25">
      <c r="A290" s="0" t="s">
        <v>16</v>
      </c>
      <c r="B290" s="0" t="s">
        <v>3770</v>
      </c>
      <c r="C290" s="0" t="s">
        <v>3771</v>
      </c>
      <c r="D290" s="0" t="s">
        <v>3790</v>
      </c>
      <c r="E290" s="0" t="s">
        <v>3791</v>
      </c>
      <c r="F290" s="0" t="s">
        <v>3051</v>
      </c>
      <c r="G290" s="0" t="s">
        <v>3792</v>
      </c>
    </row>
    <row customHeight="1" ht="11.25">
      <c r="A291" s="0" t="s">
        <v>16</v>
      </c>
      <c r="B291" s="0" t="s">
        <v>3770</v>
      </c>
      <c r="C291" s="0" t="s">
        <v>3771</v>
      </c>
      <c r="D291" s="0" t="s">
        <v>3288</v>
      </c>
      <c r="E291" s="0" t="s">
        <v>3793</v>
      </c>
      <c r="F291" s="0" t="s">
        <v>3051</v>
      </c>
      <c r="G291" s="0" t="s">
        <v>3794</v>
      </c>
    </row>
    <row customHeight="1" ht="11.25">
      <c r="A292" s="0" t="s">
        <v>16</v>
      </c>
      <c r="B292" s="0" t="s">
        <v>3770</v>
      </c>
      <c r="C292" s="0" t="s">
        <v>3771</v>
      </c>
      <c r="D292" s="0" t="s">
        <v>3795</v>
      </c>
      <c r="E292" s="0" t="s">
        <v>3796</v>
      </c>
      <c r="F292" s="0" t="s">
        <v>3121</v>
      </c>
      <c r="G292" s="0" t="s">
        <v>3797</v>
      </c>
    </row>
    <row customHeight="1" ht="11.25">
      <c r="A293" s="0" t="s">
        <v>16</v>
      </c>
      <c r="B293" s="0" t="s">
        <v>3798</v>
      </c>
      <c r="C293" s="0" t="s">
        <v>3799</v>
      </c>
      <c r="D293" s="0" t="s">
        <v>3800</v>
      </c>
      <c r="E293" s="0" t="s">
        <v>3801</v>
      </c>
      <c r="F293" s="0" t="s">
        <v>3051</v>
      </c>
      <c r="G293" s="0" t="s">
        <v>3802</v>
      </c>
    </row>
    <row customHeight="1" ht="11.25">
      <c r="A294" s="0" t="s">
        <v>16</v>
      </c>
      <c r="B294" s="0" t="s">
        <v>3798</v>
      </c>
      <c r="C294" s="0" t="s">
        <v>3799</v>
      </c>
      <c r="D294" s="0" t="s">
        <v>3803</v>
      </c>
      <c r="E294" s="0" t="s">
        <v>3804</v>
      </c>
      <c r="F294" s="0" t="s">
        <v>3051</v>
      </c>
      <c r="G294" s="0" t="s">
        <v>3805</v>
      </c>
    </row>
    <row customHeight="1" ht="11.25">
      <c r="A295" s="0" t="s">
        <v>16</v>
      </c>
      <c r="B295" s="0" t="s">
        <v>3798</v>
      </c>
      <c r="C295" s="0" t="s">
        <v>3799</v>
      </c>
      <c r="D295" s="0" t="s">
        <v>3806</v>
      </c>
      <c r="E295" s="0" t="s">
        <v>3807</v>
      </c>
      <c r="F295" s="0" t="s">
        <v>3051</v>
      </c>
      <c r="G295" s="0" t="s">
        <v>3808</v>
      </c>
    </row>
    <row customHeight="1" ht="11.25">
      <c r="A296" s="0" t="s">
        <v>16</v>
      </c>
      <c r="B296" s="0" t="s">
        <v>3798</v>
      </c>
      <c r="C296" s="0" t="s">
        <v>3799</v>
      </c>
      <c r="D296" s="0" t="s">
        <v>3809</v>
      </c>
      <c r="E296" s="0" t="s">
        <v>3810</v>
      </c>
      <c r="F296" s="0" t="s">
        <v>3051</v>
      </c>
      <c r="G296" s="0" t="s">
        <v>3811</v>
      </c>
    </row>
    <row customHeight="1" ht="11.25">
      <c r="A297" s="0" t="s">
        <v>16</v>
      </c>
      <c r="B297" s="0" t="s">
        <v>3798</v>
      </c>
      <c r="C297" s="0" t="s">
        <v>3799</v>
      </c>
      <c r="D297" s="0" t="s">
        <v>3812</v>
      </c>
      <c r="E297" s="0" t="s">
        <v>3813</v>
      </c>
      <c r="F297" s="0" t="s">
        <v>3051</v>
      </c>
      <c r="G297" s="0" t="s">
        <v>3814</v>
      </c>
    </row>
    <row customHeight="1" ht="11.25">
      <c r="A298" s="0" t="s">
        <v>16</v>
      </c>
      <c r="B298" s="0" t="s">
        <v>3798</v>
      </c>
      <c r="C298" s="0" t="s">
        <v>3799</v>
      </c>
      <c r="D298" s="0" t="s">
        <v>3815</v>
      </c>
      <c r="E298" s="0" t="s">
        <v>3816</v>
      </c>
      <c r="F298" s="0" t="s">
        <v>3051</v>
      </c>
      <c r="G298" s="0" t="s">
        <v>3817</v>
      </c>
    </row>
    <row customHeight="1" ht="11.25">
      <c r="A299" s="0" t="s">
        <v>16</v>
      </c>
      <c r="B299" s="0" t="s">
        <v>3798</v>
      </c>
      <c r="C299" s="0" t="s">
        <v>3799</v>
      </c>
      <c r="D299" s="0" t="s">
        <v>3818</v>
      </c>
      <c r="E299" s="0" t="s">
        <v>3819</v>
      </c>
      <c r="F299" s="0" t="s">
        <v>3051</v>
      </c>
      <c r="G299" s="0" t="s">
        <v>3820</v>
      </c>
    </row>
    <row customHeight="1" ht="11.25">
      <c r="A300" s="0" t="s">
        <v>16</v>
      </c>
      <c r="B300" s="0" t="s">
        <v>3798</v>
      </c>
      <c r="C300" s="0" t="s">
        <v>3799</v>
      </c>
      <c r="D300" s="0" t="s">
        <v>3821</v>
      </c>
      <c r="E300" s="0" t="s">
        <v>3822</v>
      </c>
      <c r="F300" s="0" t="s">
        <v>3051</v>
      </c>
      <c r="G300" s="0" t="s">
        <v>3823</v>
      </c>
    </row>
    <row customHeight="1" ht="11.25">
      <c r="A301" s="0" t="s">
        <v>16</v>
      </c>
      <c r="B301" s="0" t="s">
        <v>3798</v>
      </c>
      <c r="C301" s="0" t="s">
        <v>3799</v>
      </c>
      <c r="D301" s="0" t="s">
        <v>3824</v>
      </c>
      <c r="E301" s="0" t="s">
        <v>3825</v>
      </c>
      <c r="F301" s="0" t="s">
        <v>3051</v>
      </c>
      <c r="G301" s="0" t="s">
        <v>3826</v>
      </c>
    </row>
    <row customHeight="1" ht="11.25">
      <c r="A302" s="0" t="s">
        <v>16</v>
      </c>
      <c r="B302" s="0" t="s">
        <v>3798</v>
      </c>
      <c r="C302" s="0" t="s">
        <v>3799</v>
      </c>
      <c r="D302" s="0" t="s">
        <v>3142</v>
      </c>
      <c r="E302" s="0" t="s">
        <v>3827</v>
      </c>
      <c r="F302" s="0" t="s">
        <v>3051</v>
      </c>
      <c r="G302" s="0" t="s">
        <v>3828</v>
      </c>
    </row>
    <row customHeight="1" ht="11.25">
      <c r="A303" s="0" t="s">
        <v>16</v>
      </c>
      <c r="B303" s="0" t="s">
        <v>3798</v>
      </c>
      <c r="C303" s="0" t="s">
        <v>3799</v>
      </c>
      <c r="D303" s="0" t="s">
        <v>3798</v>
      </c>
      <c r="E303" s="0" t="s">
        <v>3799</v>
      </c>
      <c r="F303" s="0" t="s">
        <v>3052</v>
      </c>
      <c r="G303" s="0" t="s">
        <v>3829</v>
      </c>
    </row>
    <row customHeight="1" ht="11.25">
      <c r="A304" s="0" t="s">
        <v>16</v>
      </c>
      <c r="B304" s="0" t="s">
        <v>3798</v>
      </c>
      <c r="C304" s="0" t="s">
        <v>3799</v>
      </c>
      <c r="D304" s="0" t="s">
        <v>3830</v>
      </c>
      <c r="E304" s="0" t="s">
        <v>3831</v>
      </c>
      <c r="F304" s="0" t="s">
        <v>3176</v>
      </c>
      <c r="G304" s="0" t="s">
        <v>3832</v>
      </c>
    </row>
    <row customHeight="1" ht="11.25">
      <c r="A305" s="0" t="s">
        <v>16</v>
      </c>
      <c r="B305" s="0" t="s">
        <v>3833</v>
      </c>
      <c r="C305" s="0" t="s">
        <v>3834</v>
      </c>
      <c r="D305" s="0" t="s">
        <v>3835</v>
      </c>
      <c r="E305" s="0" t="s">
        <v>3836</v>
      </c>
      <c r="F305" s="0" t="s">
        <v>3051</v>
      </c>
      <c r="G305" s="0" t="s">
        <v>3837</v>
      </c>
    </row>
    <row customHeight="1" ht="11.25">
      <c r="A306" s="0" t="s">
        <v>16</v>
      </c>
      <c r="B306" s="0" t="s">
        <v>3833</v>
      </c>
      <c r="C306" s="0" t="s">
        <v>3834</v>
      </c>
      <c r="D306" s="0" t="s">
        <v>3838</v>
      </c>
      <c r="E306" s="0" t="s">
        <v>3839</v>
      </c>
      <c r="F306" s="0" t="s">
        <v>3051</v>
      </c>
      <c r="G306" s="0" t="s">
        <v>3840</v>
      </c>
    </row>
    <row customHeight="1" ht="11.25">
      <c r="A307" s="0" t="s">
        <v>16</v>
      </c>
      <c r="B307" s="0" t="s">
        <v>3833</v>
      </c>
      <c r="C307" s="0" t="s">
        <v>3834</v>
      </c>
      <c r="D307" s="0" t="s">
        <v>3841</v>
      </c>
      <c r="E307" s="0" t="s">
        <v>3842</v>
      </c>
      <c r="F307" s="0" t="s">
        <v>3051</v>
      </c>
      <c r="G307" s="0" t="s">
        <v>3843</v>
      </c>
    </row>
    <row customHeight="1" ht="11.25">
      <c r="A308" s="0" t="s">
        <v>16</v>
      </c>
      <c r="B308" s="0" t="s">
        <v>3833</v>
      </c>
      <c r="C308" s="0" t="s">
        <v>3834</v>
      </c>
      <c r="D308" s="0" t="s">
        <v>3844</v>
      </c>
      <c r="E308" s="0" t="s">
        <v>3845</v>
      </c>
      <c r="F308" s="0" t="s">
        <v>3051</v>
      </c>
      <c r="G308" s="0" t="s">
        <v>3846</v>
      </c>
    </row>
    <row customHeight="1" ht="11.25">
      <c r="A309" s="0" t="s">
        <v>16</v>
      </c>
      <c r="B309" s="0" t="s">
        <v>3833</v>
      </c>
      <c r="C309" s="0" t="s">
        <v>3834</v>
      </c>
      <c r="D309" s="0" t="s">
        <v>3847</v>
      </c>
      <c r="E309" s="0" t="s">
        <v>3848</v>
      </c>
      <c r="F309" s="0" t="s">
        <v>3051</v>
      </c>
      <c r="G309" s="0" t="s">
        <v>3849</v>
      </c>
    </row>
    <row customHeight="1" ht="11.25">
      <c r="A310" s="0" t="s">
        <v>16</v>
      </c>
      <c r="B310" s="0" t="s">
        <v>3833</v>
      </c>
      <c r="C310" s="0" t="s">
        <v>3834</v>
      </c>
      <c r="D310" s="0" t="s">
        <v>3850</v>
      </c>
      <c r="E310" s="0" t="s">
        <v>3851</v>
      </c>
      <c r="F310" s="0" t="s">
        <v>3051</v>
      </c>
      <c r="G310" s="0" t="s">
        <v>3852</v>
      </c>
    </row>
    <row customHeight="1" ht="11.25">
      <c r="A311" s="0" t="s">
        <v>16</v>
      </c>
      <c r="B311" s="0" t="s">
        <v>3833</v>
      </c>
      <c r="C311" s="0" t="s">
        <v>3834</v>
      </c>
      <c r="D311" s="0" t="s">
        <v>3853</v>
      </c>
      <c r="E311" s="0" t="s">
        <v>3854</v>
      </c>
      <c r="F311" s="0" t="s">
        <v>3051</v>
      </c>
      <c r="G311" s="0" t="s">
        <v>3855</v>
      </c>
    </row>
    <row customHeight="1" ht="11.25">
      <c r="A312" s="0" t="s">
        <v>16</v>
      </c>
      <c r="B312" s="0" t="s">
        <v>3833</v>
      </c>
      <c r="C312" s="0" t="s">
        <v>3834</v>
      </c>
      <c r="D312" s="0" t="s">
        <v>3856</v>
      </c>
      <c r="E312" s="0" t="s">
        <v>3857</v>
      </c>
      <c r="F312" s="0" t="s">
        <v>3051</v>
      </c>
      <c r="G312" s="0" t="s">
        <v>3858</v>
      </c>
    </row>
    <row customHeight="1" ht="11.25">
      <c r="A313" s="0" t="s">
        <v>16</v>
      </c>
      <c r="B313" s="0" t="s">
        <v>3833</v>
      </c>
      <c r="C313" s="0" t="s">
        <v>3834</v>
      </c>
      <c r="D313" s="0" t="s">
        <v>3833</v>
      </c>
      <c r="E313" s="0" t="s">
        <v>3834</v>
      </c>
      <c r="F313" s="0" t="s">
        <v>3052</v>
      </c>
      <c r="G313" s="0" t="s">
        <v>3859</v>
      </c>
    </row>
    <row customHeight="1" ht="11.25">
      <c r="A314" s="0" t="s">
        <v>16</v>
      </c>
      <c r="B314" s="0" t="s">
        <v>3833</v>
      </c>
      <c r="C314" s="0" t="s">
        <v>3834</v>
      </c>
      <c r="D314" s="0" t="s">
        <v>3860</v>
      </c>
      <c r="E314" s="0" t="s">
        <v>3861</v>
      </c>
      <c r="F314" s="0" t="s">
        <v>3121</v>
      </c>
      <c r="G314" s="0" t="s">
        <v>3862</v>
      </c>
    </row>
    <row customHeight="1" ht="11.25">
      <c r="A315" s="0" t="s">
        <v>16</v>
      </c>
      <c r="B315" s="0" t="s">
        <v>3863</v>
      </c>
      <c r="C315" s="0" t="s">
        <v>3864</v>
      </c>
      <c r="D315" s="0" t="s">
        <v>3865</v>
      </c>
      <c r="E315" s="0" t="s">
        <v>3866</v>
      </c>
      <c r="F315" s="0" t="s">
        <v>3051</v>
      </c>
      <c r="G315" s="0" t="s">
        <v>3867</v>
      </c>
    </row>
    <row customHeight="1" ht="11.25">
      <c r="A316" s="0" t="s">
        <v>16</v>
      </c>
      <c r="B316" s="0" t="s">
        <v>3863</v>
      </c>
      <c r="C316" s="0" t="s">
        <v>3864</v>
      </c>
      <c r="D316" s="0" t="s">
        <v>3197</v>
      </c>
      <c r="E316" s="0" t="s">
        <v>3868</v>
      </c>
      <c r="F316" s="0" t="s">
        <v>3051</v>
      </c>
      <c r="G316" s="0" t="s">
        <v>3869</v>
      </c>
    </row>
    <row customHeight="1" ht="11.25">
      <c r="A317" s="0" t="s">
        <v>16</v>
      </c>
      <c r="B317" s="0" t="s">
        <v>3863</v>
      </c>
      <c r="C317" s="0" t="s">
        <v>3864</v>
      </c>
      <c r="D317" s="0" t="s">
        <v>3870</v>
      </c>
      <c r="E317" s="0" t="s">
        <v>3871</v>
      </c>
      <c r="F317" s="0" t="s">
        <v>3051</v>
      </c>
      <c r="G317" s="0" t="s">
        <v>3872</v>
      </c>
    </row>
    <row customHeight="1" ht="11.25">
      <c r="A318" s="0" t="s">
        <v>16</v>
      </c>
      <c r="B318" s="0" t="s">
        <v>3863</v>
      </c>
      <c r="C318" s="0" t="s">
        <v>3864</v>
      </c>
      <c r="D318" s="0" t="s">
        <v>3847</v>
      </c>
      <c r="E318" s="0" t="s">
        <v>3873</v>
      </c>
      <c r="F318" s="0" t="s">
        <v>3051</v>
      </c>
      <c r="G318" s="0" t="s">
        <v>3874</v>
      </c>
    </row>
    <row customHeight="1" ht="11.25">
      <c r="A319" s="0" t="s">
        <v>16</v>
      </c>
      <c r="B319" s="0" t="s">
        <v>3863</v>
      </c>
      <c r="C319" s="0" t="s">
        <v>3864</v>
      </c>
      <c r="D319" s="0" t="s">
        <v>3875</v>
      </c>
      <c r="E319" s="0" t="s">
        <v>3876</v>
      </c>
      <c r="F319" s="0" t="s">
        <v>3051</v>
      </c>
      <c r="G319" s="0" t="s">
        <v>3877</v>
      </c>
    </row>
    <row customHeight="1" ht="11.25">
      <c r="A320" s="0" t="s">
        <v>16</v>
      </c>
      <c r="B320" s="0" t="s">
        <v>3863</v>
      </c>
      <c r="C320" s="0" t="s">
        <v>3864</v>
      </c>
      <c r="D320" s="0" t="s">
        <v>3824</v>
      </c>
      <c r="E320" s="0" t="s">
        <v>3878</v>
      </c>
      <c r="F320" s="0" t="s">
        <v>3051</v>
      </c>
      <c r="G320" s="0" t="s">
        <v>3879</v>
      </c>
    </row>
    <row customHeight="1" ht="11.25">
      <c r="A321" s="0" t="s">
        <v>16</v>
      </c>
      <c r="B321" s="0" t="s">
        <v>3863</v>
      </c>
      <c r="C321" s="0" t="s">
        <v>3864</v>
      </c>
      <c r="D321" s="0" t="s">
        <v>3880</v>
      </c>
      <c r="E321" s="0" t="s">
        <v>3881</v>
      </c>
      <c r="F321" s="0" t="s">
        <v>3051</v>
      </c>
      <c r="G321" s="0" t="s">
        <v>3882</v>
      </c>
    </row>
    <row customHeight="1" ht="11.25">
      <c r="A322" s="0" t="s">
        <v>16</v>
      </c>
      <c r="B322" s="0" t="s">
        <v>3863</v>
      </c>
      <c r="C322" s="0" t="s">
        <v>3864</v>
      </c>
      <c r="D322" s="0" t="s">
        <v>3883</v>
      </c>
      <c r="E322" s="0" t="s">
        <v>3884</v>
      </c>
      <c r="F322" s="0" t="s">
        <v>3051</v>
      </c>
      <c r="G322" s="0" t="s">
        <v>3885</v>
      </c>
    </row>
    <row customHeight="1" ht="11.25">
      <c r="A323" s="0" t="s">
        <v>16</v>
      </c>
      <c r="B323" s="0" t="s">
        <v>3863</v>
      </c>
      <c r="C323" s="0" t="s">
        <v>3864</v>
      </c>
      <c r="D323" s="0" t="s">
        <v>3863</v>
      </c>
      <c r="E323" s="0" t="s">
        <v>3864</v>
      </c>
      <c r="F323" s="0" t="s">
        <v>3052</v>
      </c>
      <c r="G323" s="0" t="s">
        <v>3886</v>
      </c>
    </row>
    <row customHeight="1" ht="11.25">
      <c r="A324" s="0" t="s">
        <v>16</v>
      </c>
      <c r="B324" s="0" t="s">
        <v>3863</v>
      </c>
      <c r="C324" s="0" t="s">
        <v>3864</v>
      </c>
      <c r="D324" s="0" t="s">
        <v>3887</v>
      </c>
      <c r="E324" s="0" t="s">
        <v>3888</v>
      </c>
      <c r="F324" s="0" t="s">
        <v>3121</v>
      </c>
      <c r="G324" s="0" t="s">
        <v>3889</v>
      </c>
    </row>
    <row customHeight="1" ht="11.25">
      <c r="A325" s="0" t="s">
        <v>16</v>
      </c>
      <c r="B325" s="0" t="s">
        <v>3890</v>
      </c>
      <c r="C325" s="0" t="s">
        <v>3891</v>
      </c>
      <c r="D325" s="0" t="s">
        <v>3892</v>
      </c>
      <c r="E325" s="0" t="s">
        <v>3893</v>
      </c>
      <c r="F325" s="0" t="s">
        <v>3051</v>
      </c>
      <c r="G325" s="0" t="s">
        <v>3894</v>
      </c>
    </row>
    <row customHeight="1" ht="11.25">
      <c r="A326" s="0" t="s">
        <v>16</v>
      </c>
      <c r="B326" s="0" t="s">
        <v>3890</v>
      </c>
      <c r="C326" s="0" t="s">
        <v>3891</v>
      </c>
      <c r="D326" s="0" t="s">
        <v>3057</v>
      </c>
      <c r="E326" s="0" t="s">
        <v>3895</v>
      </c>
      <c r="F326" s="0" t="s">
        <v>3051</v>
      </c>
      <c r="G326" s="0" t="s">
        <v>3896</v>
      </c>
    </row>
    <row customHeight="1" ht="11.25">
      <c r="A327" s="0" t="s">
        <v>16</v>
      </c>
      <c r="B327" s="0" t="s">
        <v>3890</v>
      </c>
      <c r="C327" s="0" t="s">
        <v>3891</v>
      </c>
      <c r="D327" s="0" t="s">
        <v>3897</v>
      </c>
      <c r="E327" s="0" t="s">
        <v>3898</v>
      </c>
      <c r="F327" s="0" t="s">
        <v>3051</v>
      </c>
      <c r="G327" s="0" t="s">
        <v>3899</v>
      </c>
    </row>
    <row customHeight="1" ht="11.25">
      <c r="A328" s="0" t="s">
        <v>16</v>
      </c>
      <c r="B328" s="0" t="s">
        <v>3890</v>
      </c>
      <c r="C328" s="0" t="s">
        <v>3891</v>
      </c>
      <c r="D328" s="0" t="s">
        <v>3900</v>
      </c>
      <c r="E328" s="0" t="s">
        <v>3901</v>
      </c>
      <c r="F328" s="0" t="s">
        <v>3051</v>
      </c>
      <c r="G328" s="0" t="s">
        <v>3902</v>
      </c>
    </row>
    <row customHeight="1" ht="11.25">
      <c r="A329" s="0" t="s">
        <v>16</v>
      </c>
      <c r="B329" s="0" t="s">
        <v>3890</v>
      </c>
      <c r="C329" s="0" t="s">
        <v>3891</v>
      </c>
      <c r="D329" s="0" t="s">
        <v>3903</v>
      </c>
      <c r="E329" s="0" t="s">
        <v>3904</v>
      </c>
      <c r="F329" s="0" t="s">
        <v>3051</v>
      </c>
      <c r="G329" s="0" t="s">
        <v>3905</v>
      </c>
    </row>
    <row customHeight="1" ht="11.25">
      <c r="A330" s="0" t="s">
        <v>16</v>
      </c>
      <c r="B330" s="0" t="s">
        <v>3890</v>
      </c>
      <c r="C330" s="0" t="s">
        <v>3891</v>
      </c>
      <c r="D330" s="0" t="s">
        <v>3130</v>
      </c>
      <c r="E330" s="0" t="s">
        <v>3906</v>
      </c>
      <c r="F330" s="0" t="s">
        <v>3051</v>
      </c>
      <c r="G330" s="0" t="s">
        <v>3907</v>
      </c>
    </row>
    <row customHeight="1" ht="11.25">
      <c r="A331" s="0" t="s">
        <v>16</v>
      </c>
      <c r="B331" s="0" t="s">
        <v>3890</v>
      </c>
      <c r="C331" s="0" t="s">
        <v>3891</v>
      </c>
      <c r="D331" s="0" t="s">
        <v>3908</v>
      </c>
      <c r="E331" s="0" t="s">
        <v>3909</v>
      </c>
      <c r="F331" s="0" t="s">
        <v>3051</v>
      </c>
      <c r="G331" s="0" t="s">
        <v>3910</v>
      </c>
    </row>
    <row customHeight="1" ht="11.25">
      <c r="A332" s="0" t="s">
        <v>16</v>
      </c>
      <c r="B332" s="0" t="s">
        <v>3890</v>
      </c>
      <c r="C332" s="0" t="s">
        <v>3891</v>
      </c>
      <c r="D332" s="0" t="s">
        <v>3911</v>
      </c>
      <c r="E332" s="0" t="s">
        <v>3912</v>
      </c>
      <c r="F332" s="0" t="s">
        <v>3051</v>
      </c>
      <c r="G332" s="0" t="s">
        <v>3913</v>
      </c>
    </row>
    <row customHeight="1" ht="11.25">
      <c r="A333" s="0" t="s">
        <v>16</v>
      </c>
      <c r="B333" s="0" t="s">
        <v>3890</v>
      </c>
      <c r="C333" s="0" t="s">
        <v>3891</v>
      </c>
      <c r="D333" s="0" t="s">
        <v>3914</v>
      </c>
      <c r="E333" s="0" t="s">
        <v>3915</v>
      </c>
      <c r="F333" s="0" t="s">
        <v>3051</v>
      </c>
      <c r="G333" s="0" t="s">
        <v>3916</v>
      </c>
    </row>
    <row customHeight="1" ht="11.25">
      <c r="A334" s="0" t="s">
        <v>16</v>
      </c>
      <c r="B334" s="0" t="s">
        <v>3890</v>
      </c>
      <c r="C334" s="0" t="s">
        <v>3891</v>
      </c>
      <c r="D334" s="0" t="s">
        <v>3917</v>
      </c>
      <c r="E334" s="0" t="s">
        <v>3918</v>
      </c>
      <c r="F334" s="0" t="s">
        <v>3051</v>
      </c>
      <c r="G334" s="0" t="s">
        <v>3919</v>
      </c>
    </row>
    <row customHeight="1" ht="11.25">
      <c r="A335" s="0" t="s">
        <v>16</v>
      </c>
      <c r="B335" s="0" t="s">
        <v>3890</v>
      </c>
      <c r="C335" s="0" t="s">
        <v>3891</v>
      </c>
      <c r="D335" s="0" t="s">
        <v>3920</v>
      </c>
      <c r="E335" s="0" t="s">
        <v>3921</v>
      </c>
      <c r="F335" s="0" t="s">
        <v>3051</v>
      </c>
      <c r="G335" s="0" t="s">
        <v>3922</v>
      </c>
    </row>
    <row customHeight="1" ht="11.25">
      <c r="A336" s="0" t="s">
        <v>16</v>
      </c>
      <c r="B336" s="0" t="s">
        <v>3890</v>
      </c>
      <c r="C336" s="0" t="s">
        <v>3891</v>
      </c>
      <c r="D336" s="0" t="s">
        <v>3138</v>
      </c>
      <c r="E336" s="0" t="s">
        <v>3923</v>
      </c>
      <c r="F336" s="0" t="s">
        <v>3051</v>
      </c>
      <c r="G336" s="0" t="s">
        <v>3924</v>
      </c>
    </row>
    <row customHeight="1" ht="11.25">
      <c r="A337" s="0" t="s">
        <v>16</v>
      </c>
      <c r="B337" s="0" t="s">
        <v>3890</v>
      </c>
      <c r="C337" s="0" t="s">
        <v>3891</v>
      </c>
      <c r="D337" s="0" t="s">
        <v>3925</v>
      </c>
      <c r="E337" s="0" t="s">
        <v>3926</v>
      </c>
      <c r="F337" s="0" t="s">
        <v>3051</v>
      </c>
      <c r="G337" s="0" t="s">
        <v>3927</v>
      </c>
    </row>
    <row customHeight="1" ht="11.25">
      <c r="A338" s="0" t="s">
        <v>16</v>
      </c>
      <c r="B338" s="0" t="s">
        <v>3890</v>
      </c>
      <c r="C338" s="0" t="s">
        <v>3891</v>
      </c>
      <c r="D338" s="0" t="s">
        <v>3928</v>
      </c>
      <c r="E338" s="0" t="s">
        <v>3929</v>
      </c>
      <c r="F338" s="0" t="s">
        <v>3051</v>
      </c>
      <c r="G338" s="0" t="s">
        <v>3930</v>
      </c>
    </row>
    <row customHeight="1" ht="11.25">
      <c r="A339" s="0" t="s">
        <v>16</v>
      </c>
      <c r="B339" s="0" t="s">
        <v>3890</v>
      </c>
      <c r="C339" s="0" t="s">
        <v>3891</v>
      </c>
      <c r="D339" s="0" t="s">
        <v>3648</v>
      </c>
      <c r="E339" s="0" t="s">
        <v>3931</v>
      </c>
      <c r="F339" s="0" t="s">
        <v>3051</v>
      </c>
      <c r="G339" s="0" t="s">
        <v>3932</v>
      </c>
    </row>
    <row customHeight="1" ht="11.25">
      <c r="A340" s="0" t="s">
        <v>16</v>
      </c>
      <c r="B340" s="0" t="s">
        <v>3890</v>
      </c>
      <c r="C340" s="0" t="s">
        <v>3891</v>
      </c>
      <c r="D340" s="0" t="s">
        <v>3933</v>
      </c>
      <c r="E340" s="0" t="s">
        <v>3934</v>
      </c>
      <c r="F340" s="0" t="s">
        <v>3051</v>
      </c>
      <c r="G340" s="0" t="s">
        <v>3935</v>
      </c>
    </row>
    <row customHeight="1" ht="11.25">
      <c r="A341" s="0" t="s">
        <v>16</v>
      </c>
      <c r="B341" s="0" t="s">
        <v>3890</v>
      </c>
      <c r="C341" s="0" t="s">
        <v>3891</v>
      </c>
      <c r="D341" s="0" t="s">
        <v>3936</v>
      </c>
      <c r="E341" s="0" t="s">
        <v>3937</v>
      </c>
      <c r="F341" s="0" t="s">
        <v>3051</v>
      </c>
      <c r="G341" s="0" t="s">
        <v>3938</v>
      </c>
    </row>
    <row customHeight="1" ht="11.25">
      <c r="A342" s="0" t="s">
        <v>16</v>
      </c>
      <c r="B342" s="0" t="s">
        <v>3890</v>
      </c>
      <c r="C342" s="0" t="s">
        <v>3891</v>
      </c>
      <c r="D342" s="0" t="s">
        <v>3939</v>
      </c>
      <c r="E342" s="0" t="s">
        <v>3940</v>
      </c>
      <c r="F342" s="0" t="s">
        <v>3051</v>
      </c>
      <c r="G342" s="0" t="s">
        <v>3941</v>
      </c>
    </row>
    <row customHeight="1" ht="11.25">
      <c r="A343" s="0" t="s">
        <v>16</v>
      </c>
      <c r="B343" s="0" t="s">
        <v>3890</v>
      </c>
      <c r="C343" s="0" t="s">
        <v>3891</v>
      </c>
      <c r="D343" s="0" t="s">
        <v>3890</v>
      </c>
      <c r="E343" s="0" t="s">
        <v>3891</v>
      </c>
      <c r="F343" s="0" t="s">
        <v>3052</v>
      </c>
      <c r="G343" s="0" t="s">
        <v>3942</v>
      </c>
    </row>
    <row customHeight="1" ht="11.25">
      <c r="A344" s="0" t="s">
        <v>16</v>
      </c>
      <c r="B344" s="0" t="s">
        <v>3943</v>
      </c>
      <c r="C344" s="0" t="s">
        <v>3944</v>
      </c>
      <c r="D344" s="0" t="s">
        <v>3943</v>
      </c>
      <c r="E344" s="0" t="s">
        <v>3944</v>
      </c>
      <c r="F344" s="0" t="s">
        <v>3945</v>
      </c>
      <c r="G344" s="0" t="s">
        <v>3946</v>
      </c>
    </row>
    <row customHeight="1" ht="11.25">
      <c r="A345" s="0" t="s">
        <v>16</v>
      </c>
      <c r="B345" s="0" t="s">
        <v>3947</v>
      </c>
      <c r="C345" s="0" t="s">
        <v>3948</v>
      </c>
      <c r="D345" s="0" t="s">
        <v>3947</v>
      </c>
      <c r="E345" s="0" t="s">
        <v>3948</v>
      </c>
      <c r="F345" s="0" t="s">
        <v>3945</v>
      </c>
      <c r="G345" s="0" t="s">
        <v>3949</v>
      </c>
    </row>
    <row customHeight="1" ht="11.25">
      <c r="A346" s="0" t="s">
        <v>16</v>
      </c>
      <c r="B346" s="0" t="s">
        <v>3950</v>
      </c>
      <c r="C346" s="0" t="s">
        <v>3951</v>
      </c>
      <c r="D346" s="0" t="s">
        <v>3950</v>
      </c>
      <c r="E346" s="0" t="s">
        <v>3951</v>
      </c>
      <c r="F346" s="0" t="s">
        <v>3945</v>
      </c>
      <c r="G346" s="0" t="s">
        <v>3952</v>
      </c>
    </row>
    <row customHeight="1" ht="11.25">
      <c r="A347" s="0" t="s">
        <v>16</v>
      </c>
      <c r="B347" s="0" t="s">
        <v>3953</v>
      </c>
      <c r="C347" s="0" t="s">
        <v>3954</v>
      </c>
      <c r="D347" s="0" t="s">
        <v>3953</v>
      </c>
      <c r="E347" s="0" t="s">
        <v>3954</v>
      </c>
      <c r="F347" s="0" t="s">
        <v>3945</v>
      </c>
      <c r="G347" s="0" t="s">
        <v>3955</v>
      </c>
    </row>
    <row customHeight="1" ht="11.25">
      <c r="A348" s="0" t="s">
        <v>16</v>
      </c>
      <c r="B348" s="0" t="s">
        <v>3956</v>
      </c>
      <c r="C348" s="0" t="s">
        <v>3957</v>
      </c>
      <c r="D348" s="0" t="s">
        <v>3956</v>
      </c>
      <c r="E348" s="0" t="s">
        <v>3957</v>
      </c>
      <c r="F348" s="0" t="s">
        <v>3945</v>
      </c>
      <c r="G348" s="0" t="s">
        <v>3958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56BE81-E636-9B08-9432-DB03AA4D961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677" width="9.140625"/>
    <col min="2" max="2" style="13677" width="84.28125" customWidth="1"/>
    <col min="3" max="3" style="13677" width="9.140625"/>
  </cols>
  <sheetData>
    <row customHeight="1" ht="11.25">
      <c r="A1" s="948" t="s">
        <v>3996</v>
      </c>
      <c r="B1" s="948" t="s">
        <v>3997</v>
      </c>
      <c r="C1" s="948" t="s">
        <v>1302</v>
      </c>
    </row>
    <row customHeight="1" ht="11.25">
      <c r="A2" s="948">
        <v>4189678</v>
      </c>
      <c r="B2" s="948" t="s">
        <v>3998</v>
      </c>
      <c r="C2" s="948" t="s">
        <v>3999</v>
      </c>
    </row>
    <row customHeight="1" ht="11.25">
      <c r="A3" s="948">
        <v>4190415</v>
      </c>
      <c r="B3" s="948" t="s">
        <v>4000</v>
      </c>
      <c r="C3" s="948" t="s">
        <v>3999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4FA272-1DD4-44A6-AAB1-CB50D578F23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682" width="38.421875" customWidth="1"/>
    <col min="2" max="5" style="13682" width="9.140625"/>
  </cols>
  <sheetData>
    <row customHeight="1" ht="15">
      <c r="A1" s="276" t="s">
        <v>4001</v>
      </c>
      <c r="B1" s="276" t="s">
        <v>4002</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434B75-7E09-0F24-DE5E-0078291A163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4003</v>
      </c>
      <c r="B1" s="0" t="b">
        <v>1</v>
      </c>
    </row>
    <row customHeight="1" ht="11.25">
      <c r="A2" s="0" t="s">
        <v>4004</v>
      </c>
      <c r="B2" s="0" t="b">
        <v>0</v>
      </c>
    </row>
    <row customHeight="1" ht="11.25">
      <c r="A3" s="0" t="s">
        <v>4005</v>
      </c>
      <c r="B3" s="0" t="b">
        <v>0</v>
      </c>
    </row>
    <row customHeight="1" ht="11.25">
      <c r="A4" s="0" t="s">
        <v>4006</v>
      </c>
      <c r="B4" s="0" t="b">
        <v>1</v>
      </c>
    </row>
    <row customHeight="1" ht="11.25">
      <c r="A5" s="0" t="s">
        <v>4007</v>
      </c>
      <c r="B5" s="0" t="b">
        <v>0</v>
      </c>
    </row>
    <row customHeight="1" ht="11.25">
      <c r="A6" s="0" t="s">
        <v>4008</v>
      </c>
      <c r="B6" s="0" t="b">
        <v>0</v>
      </c>
    </row>
    <row customHeight="1" ht="11.25">
      <c r="A7" s="0" t="s">
        <v>4009</v>
      </c>
      <c r="B7" s="0" t="b">
        <v>0</v>
      </c>
    </row>
    <row customHeight="1" ht="11.25">
      <c r="A8" s="0" t="s">
        <v>4010</v>
      </c>
      <c r="B8" s="0" t="b">
        <v>0</v>
      </c>
    </row>
    <row customHeight="1" ht="11.25">
      <c r="A9" s="0" t="s">
        <v>4011</v>
      </c>
      <c r="B9" s="0" t="b">
        <v>0</v>
      </c>
    </row>
    <row customHeight="1" ht="11.25">
      <c r="A10" s="0" t="s">
        <v>4012</v>
      </c>
      <c r="B10" s="0" t="b">
        <v>0</v>
      </c>
    </row>
    <row customHeight="1" ht="11.25">
      <c r="A11" s="0" t="s">
        <v>4013</v>
      </c>
      <c r="B11" s="0" t="b">
        <v>0</v>
      </c>
    </row>
    <row customHeight="1" ht="11.25">
      <c r="A12" s="0" t="s">
        <v>4014</v>
      </c>
      <c r="B12" s="0" t="b">
        <v>0</v>
      </c>
    </row>
    <row customHeight="1" ht="11.25">
      <c r="A13" s="0" t="s">
        <v>4015</v>
      </c>
      <c r="B13" s="0" t="b">
        <v>0</v>
      </c>
    </row>
    <row customHeight="1" ht="11.25">
      <c r="A14" s="0" t="s">
        <v>4016</v>
      </c>
      <c r="B14" s="0" t="b">
        <v>1</v>
      </c>
    </row>
    <row customHeight="1" ht="11.25">
      <c r="A15" s="0" t="s">
        <v>4017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271C87-EB82-E25D-B9D6-0F4A6FBB1FD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229"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7AFEB6-F0FA-0FEA-298D-9EA2D3771CF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415" width="36.28125" customWidth="1"/>
    <col min="2" max="2" style="8415" width="21.140625" customWidth="1"/>
  </cols>
  <sheetData>
    <row customHeight="1" ht="11.25">
      <c r="A1" s="180" t="s">
        <v>4018</v>
      </c>
      <c r="B1" s="180" t="s">
        <v>4019</v>
      </c>
    </row>
    <row customHeight="1" ht="11.25">
      <c r="A2" s="175" t="s">
        <v>4020</v>
      </c>
      <c r="B2" s="175" t="s">
        <v>4021</v>
      </c>
    </row>
    <row customHeight="1" ht="11.25">
      <c r="A3" s="175" t="s">
        <v>4022</v>
      </c>
      <c r="B3" s="175" t="s">
        <v>4023</v>
      </c>
    </row>
    <row customHeight="1" ht="11.25">
      <c r="A4" s="175" t="s">
        <v>4024</v>
      </c>
      <c r="B4" s="175" t="s">
        <v>4025</v>
      </c>
    </row>
    <row customHeight="1" ht="11.25">
      <c r="A5" s="175" t="s">
        <v>4026</v>
      </c>
      <c r="B5" s="175" t="s">
        <v>4027</v>
      </c>
    </row>
    <row customHeight="1" ht="11.25">
      <c r="A6" s="175" t="s">
        <v>4028</v>
      </c>
      <c r="B6" s="175" t="s">
        <v>4029</v>
      </c>
    </row>
    <row customHeight="1" ht="11.25">
      <c r="A7" s="175" t="s">
        <v>4030</v>
      </c>
      <c r="B7" s="175" t="s">
        <v>4031</v>
      </c>
    </row>
    <row customHeight="1" ht="11.25">
      <c r="A8" s="175" t="s">
        <v>4032</v>
      </c>
      <c r="B8" s="175" t="s">
        <v>4033</v>
      </c>
    </row>
    <row customHeight="1" ht="11.25">
      <c r="A9" s="175" t="s">
        <v>4034</v>
      </c>
      <c r="B9" s="175" t="s">
        <v>4035</v>
      </c>
    </row>
    <row customHeight="1" ht="11.25">
      <c r="A10" s="175" t="s">
        <v>4036</v>
      </c>
      <c r="B10" s="175" t="s">
        <v>4037</v>
      </c>
    </row>
    <row customHeight="1" ht="11.25">
      <c r="A11" s="175" t="s">
        <v>4038</v>
      </c>
      <c r="B11" s="175" t="s">
        <v>4039</v>
      </c>
    </row>
    <row customHeight="1" ht="11.25">
      <c r="A12" s="175" t="s">
        <v>4040</v>
      </c>
      <c r="B12" s="175" t="s">
        <v>4041</v>
      </c>
    </row>
    <row customHeight="1" ht="11.25">
      <c r="A13" s="175" t="s">
        <v>4042</v>
      </c>
      <c r="B13" s="175" t="s">
        <v>4043</v>
      </c>
    </row>
    <row customHeight="1" ht="11.25">
      <c r="A14" s="175" t="s">
        <v>4044</v>
      </c>
      <c r="B14" s="175" t="s">
        <v>4045</v>
      </c>
    </row>
    <row customHeight="1" ht="11.25">
      <c r="A15" s="175" t="s">
        <v>4046</v>
      </c>
      <c r="B15" s="175" t="s">
        <v>4047</v>
      </c>
    </row>
    <row customHeight="1" ht="11.25">
      <c r="A16" s="175" t="s">
        <v>4048</v>
      </c>
      <c r="B16" s="175" t="s">
        <v>4049</v>
      </c>
    </row>
    <row customHeight="1" ht="11.25">
      <c r="A17" s="175" t="s">
        <v>4050</v>
      </c>
      <c r="B17" s="175" t="s">
        <v>4051</v>
      </c>
    </row>
    <row customHeight="1" ht="11.25">
      <c r="A18" s="175" t="s">
        <v>4052</v>
      </c>
      <c r="B18" s="175" t="s">
        <v>4053</v>
      </c>
    </row>
    <row customHeight="1" ht="11.25">
      <c r="A19" s="175" t="s">
        <v>4054</v>
      </c>
      <c r="B19" s="175" t="s">
        <v>4055</v>
      </c>
    </row>
    <row customHeight="1" ht="11.25">
      <c r="A20" s="175" t="s">
        <v>4056</v>
      </c>
      <c r="B20" s="175" t="s">
        <v>4057</v>
      </c>
    </row>
    <row customHeight="1" ht="11.25">
      <c r="A21" s="175" t="s">
        <v>4058</v>
      </c>
      <c r="B21" s="175" t="s">
        <v>4059</v>
      </c>
    </row>
    <row customHeight="1" ht="11.25">
      <c r="A22" s="175" t="s">
        <v>4060</v>
      </c>
      <c r="B22" s="175" t="s">
        <v>4061</v>
      </c>
    </row>
    <row customHeight="1" ht="11.25">
      <c r="A23" s="175" t="s">
        <v>4062</v>
      </c>
      <c r="B23" s="175" t="s">
        <v>4063</v>
      </c>
    </row>
    <row customHeight="1" ht="11.25">
      <c r="A24" s="175" t="s">
        <v>4064</v>
      </c>
      <c r="B24" s="175" t="s">
        <v>4065</v>
      </c>
    </row>
    <row customHeight="1" ht="11.25">
      <c r="A25" s="175" t="s">
        <v>4066</v>
      </c>
      <c r="B25" s="175" t="s">
        <v>4067</v>
      </c>
    </row>
    <row customHeight="1" ht="11.25">
      <c r="A26" s="175" t="s">
        <v>4068</v>
      </c>
      <c r="B26" s="175" t="s">
        <v>4069</v>
      </c>
    </row>
    <row customHeight="1" ht="11.25">
      <c r="A27" s="175" t="s">
        <v>4070</v>
      </c>
      <c r="B27" s="175" t="s">
        <v>4071</v>
      </c>
    </row>
    <row customHeight="1" ht="11.25">
      <c r="A28" s="175" t="s">
        <v>4072</v>
      </c>
      <c r="B28" s="175" t="s">
        <v>4073</v>
      </c>
    </row>
    <row customHeight="1" ht="11.25">
      <c r="A29" s="175" t="s">
        <v>4074</v>
      </c>
      <c r="B29" s="175" t="s">
        <v>4075</v>
      </c>
    </row>
    <row customHeight="1" ht="11.25">
      <c r="A30" s="175" t="s">
        <v>4076</v>
      </c>
      <c r="B30" s="175" t="s">
        <v>4077</v>
      </c>
    </row>
    <row customHeight="1" ht="11.25">
      <c r="A31" s="175" t="s">
        <v>4078</v>
      </c>
      <c r="B31" s="175" t="s">
        <v>4079</v>
      </c>
    </row>
    <row customHeight="1" ht="11.25">
      <c r="A32" s="175" t="s">
        <v>4080</v>
      </c>
      <c r="B32" s="175" t="s">
        <v>4081</v>
      </c>
    </row>
    <row customHeight="1" ht="11.25">
      <c r="A33" s="175" t="s">
        <v>4082</v>
      </c>
      <c r="B33" s="175" t="s">
        <v>4083</v>
      </c>
    </row>
    <row customHeight="1" ht="11.25">
      <c r="A34" s="175" t="s">
        <v>4084</v>
      </c>
      <c r="B34" s="175" t="s">
        <v>4085</v>
      </c>
    </row>
    <row customHeight="1" ht="11.25">
      <c r="A35" s="175" t="s">
        <v>4086</v>
      </c>
      <c r="B35" s="175" t="s">
        <v>4087</v>
      </c>
    </row>
    <row customHeight="1" ht="11.25">
      <c r="A36" s="175" t="s">
        <v>4088</v>
      </c>
      <c r="B36" s="175" t="s">
        <v>4089</v>
      </c>
    </row>
    <row customHeight="1" ht="11.25">
      <c r="A37" s="175" t="s">
        <v>4090</v>
      </c>
      <c r="B37" s="175" t="s">
        <v>4091</v>
      </c>
    </row>
    <row customHeight="1" ht="11.25">
      <c r="A38" s="175" t="s">
        <v>4092</v>
      </c>
      <c r="B38" s="175" t="s">
        <v>4093</v>
      </c>
    </row>
    <row customHeight="1" ht="11.25">
      <c r="A39" s="175" t="s">
        <v>4094</v>
      </c>
      <c r="B39" s="175" t="s">
        <v>4095</v>
      </c>
    </row>
    <row customHeight="1" ht="11.25">
      <c r="A40" s="175" t="s">
        <v>4096</v>
      </c>
      <c r="B40" s="175" t="s">
        <v>4097</v>
      </c>
    </row>
    <row customHeight="1" ht="11.25">
      <c r="A41" s="175" t="s">
        <v>4098</v>
      </c>
      <c r="B41" s="175" t="s">
        <v>4099</v>
      </c>
    </row>
    <row customHeight="1" ht="11.25">
      <c r="A42" s="175" t="s">
        <v>4100</v>
      </c>
      <c r="B42" s="175" t="s">
        <v>4101</v>
      </c>
    </row>
    <row customHeight="1" ht="11.25">
      <c r="A43" s="175" t="s">
        <v>4102</v>
      </c>
      <c r="B43" s="175" t="s">
        <v>4103</v>
      </c>
    </row>
    <row customHeight="1" ht="11.25">
      <c r="A44" s="175" t="s">
        <v>4104</v>
      </c>
      <c r="B44" s="175" t="s">
        <v>4105</v>
      </c>
    </row>
    <row customHeight="1" ht="11.25">
      <c r="A45" s="175" t="s">
        <v>4106</v>
      </c>
      <c r="B45" s="175" t="s">
        <v>4107</v>
      </c>
    </row>
    <row customHeight="1" ht="11.25">
      <c r="A46" s="175" t="s">
        <v>4108</v>
      </c>
      <c r="B46" s="175" t="s">
        <v>4109</v>
      </c>
    </row>
    <row customHeight="1" ht="11.25">
      <c r="A47" s="175" t="s">
        <v>4110</v>
      </c>
      <c r="B47" s="175" t="s">
        <v>4111</v>
      </c>
    </row>
    <row customHeight="1" ht="11.25">
      <c r="A48" s="175" t="s">
        <v>4112</v>
      </c>
      <c r="B48" s="175" t="s">
        <v>4113</v>
      </c>
    </row>
    <row customHeight="1" ht="11.25">
      <c r="A49" s="175" t="s">
        <v>4114</v>
      </c>
      <c r="B49" s="175" t="s">
        <v>4115</v>
      </c>
    </row>
    <row customHeight="1" ht="11.25">
      <c r="A50" s="175" t="s">
        <v>4116</v>
      </c>
      <c r="B50" s="175" t="s">
        <v>4117</v>
      </c>
    </row>
    <row customHeight="1" ht="11.25">
      <c r="A51" s="175" t="s">
        <v>4118</v>
      </c>
      <c r="B51" s="175" t="s">
        <v>4119</v>
      </c>
    </row>
    <row customHeight="1" ht="11.25">
      <c r="A52" s="175" t="s">
        <v>4120</v>
      </c>
      <c r="B52" s="175" t="s">
        <v>4121</v>
      </c>
    </row>
    <row customHeight="1" ht="11.25">
      <c r="A53" s="175" t="s">
        <v>4122</v>
      </c>
      <c r="B53" s="175" t="s">
        <v>4123</v>
      </c>
    </row>
    <row customHeight="1" ht="11.25">
      <c r="A54" s="175" t="s">
        <v>4124</v>
      </c>
      <c r="B54" s="175" t="s">
        <v>4125</v>
      </c>
    </row>
    <row customHeight="1" ht="11.25">
      <c r="A55" s="175" t="s">
        <v>4126</v>
      </c>
      <c r="B55" s="175" t="s">
        <v>4127</v>
      </c>
    </row>
    <row customHeight="1" ht="11.25">
      <c r="A56" s="175" t="s">
        <v>4128</v>
      </c>
      <c r="B56" s="175" t="s">
        <v>4129</v>
      </c>
    </row>
    <row customHeight="1" ht="11.25">
      <c r="A57" s="175" t="s">
        <v>4130</v>
      </c>
      <c r="B57" s="175" t="s">
        <v>4131</v>
      </c>
    </row>
    <row customHeight="1" ht="11.25">
      <c r="A58" s="175" t="s">
        <v>4132</v>
      </c>
      <c r="B58" s="175" t="s">
        <v>4133</v>
      </c>
    </row>
    <row customHeight="1" ht="11.25">
      <c r="A59" s="175" t="s">
        <v>4134</v>
      </c>
      <c r="B59" s="175" t="s">
        <v>4135</v>
      </c>
    </row>
    <row customHeight="1" ht="11.25">
      <c r="A60" s="175" t="s">
        <v>4136</v>
      </c>
      <c r="B60" s="175" t="s">
        <v>4137</v>
      </c>
    </row>
    <row customHeight="1" ht="11.25">
      <c r="A61" s="175"/>
      <c r="B61" s="175" t="s">
        <v>4138</v>
      </c>
    </row>
    <row customHeight="1" ht="11.25">
      <c r="A62" s="175"/>
      <c r="B62" s="175" t="s">
        <v>4139</v>
      </c>
    </row>
    <row customHeight="1" ht="11.25">
      <c r="A63" s="175"/>
      <c r="B63" s="175" t="s">
        <v>4140</v>
      </c>
    </row>
    <row customHeight="1" ht="11.25">
      <c r="A64" s="175"/>
      <c r="B64" s="175" t="s">
        <v>4141</v>
      </c>
    </row>
    <row customHeight="1" ht="11.25">
      <c r="A65" s="175"/>
      <c r="B65" s="175" t="s">
        <v>4142</v>
      </c>
    </row>
    <row customHeight="1" ht="11.25">
      <c r="A66" s="175"/>
      <c r="B66" s="175" t="s">
        <v>4143</v>
      </c>
    </row>
    <row customHeight="1" ht="11.25">
      <c r="A67" s="175"/>
      <c r="B67" s="175" t="s">
        <v>4144</v>
      </c>
    </row>
    <row customHeight="1" ht="11.25">
      <c r="A68" s="175"/>
      <c r="B68" s="175" t="s">
        <v>4145</v>
      </c>
    </row>
    <row customHeight="1" ht="11.25">
      <c r="A69" s="175"/>
      <c r="B69" s="175" t="s">
        <v>4146</v>
      </c>
    </row>
    <row customHeight="1" ht="11.25">
      <c r="A70" s="175"/>
      <c r="B70" s="175" t="s">
        <v>4147</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19DC78-3E38-87C9-6EC9-5FCBF42B24B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415" width="3.7109375" customWidth="1"/>
    <col min="2" max="2" style="8415" width="90.7109375" customWidth="1"/>
    <col min="3" max="4" style="8415" width="9.140625"/>
  </cols>
  <sheetData>
    <row customHeight="1" ht="11.25">
      <c r="B1" s="206" t="s">
        <v>4148</v>
      </c>
    </row>
    <row customHeight="1" ht="90">
      <c r="B2" s="207" t="s">
        <v>4149</v>
      </c>
    </row>
    <row customHeight="1" ht="67.5">
      <c r="B3" s="207" t="s">
        <v>4150</v>
      </c>
    </row>
    <row customHeight="1" ht="33.75">
      <c r="B4" s="207" t="s">
        <v>4151</v>
      </c>
    </row>
    <row customHeight="1" ht="11.25">
      <c r="B5" s="207" t="s">
        <v>4152</v>
      </c>
    </row>
    <row customHeight="1" ht="22.5">
      <c r="B6" s="207" t="s">
        <v>4153</v>
      </c>
    </row>
    <row customHeight="1" ht="22.5">
      <c r="B7" s="207" t="s">
        <v>4154</v>
      </c>
    </row>
    <row customHeight="1" ht="22.5">
      <c r="B8" s="207" t="s">
        <v>4155</v>
      </c>
    </row>
    <row customHeight="1" ht="22.5">
      <c r="B9" s="207" t="s">
        <v>4156</v>
      </c>
    </row>
    <row customHeight="1" ht="56.25">
      <c r="B10" s="207" t="s">
        <v>4157</v>
      </c>
    </row>
    <row customHeight="1" ht="12.75">
      <c r="B11" s="272" t="s">
        <v>4158</v>
      </c>
    </row>
    <row customHeight="1" ht="11.25">
      <c r="B12" s="206" t="s">
        <v>4159</v>
      </c>
    </row>
    <row customHeight="1" ht="22.5">
      <c r="B13" s="207" t="s">
        <v>4160</v>
      </c>
    </row>
    <row customHeight="1" ht="67.5">
      <c r="B14" s="207" t="s">
        <v>4161</v>
      </c>
    </row>
    <row customHeight="1" ht="22.5">
      <c r="B15" s="207" t="s">
        <v>4162</v>
      </c>
    </row>
    <row customHeight="1" ht="11.25">
      <c r="B16" s="206" t="s">
        <v>4163</v>
      </c>
      <c r="D16" s="213"/>
    </row>
    <row customHeight="1" ht="33.75">
      <c r="B17" s="207" t="s">
        <v>4164</v>
      </c>
    </row>
    <row customHeight="1" ht="33.75">
      <c r="B18" s="207" t="s">
        <v>4165</v>
      </c>
    </row>
    <row customHeight="1" ht="11.25">
      <c r="B19" s="207" t="s">
        <v>4166</v>
      </c>
    </row>
    <row customHeight="1" ht="33.75">
      <c r="B20" s="207" t="s">
        <v>4167</v>
      </c>
    </row>
    <row customHeight="1" ht="11.25">
      <c r="B21" s="206" t="s">
        <v>4168</v>
      </c>
    </row>
    <row customHeight="1" ht="11.25">
      <c r="B22" s="207" t="s">
        <v>4169</v>
      </c>
    </row>
    <row r="24" customHeight="1" ht="22.5">
      <c r="B24" s="274" t="s">
        <v>4170</v>
      </c>
    </row>
    <row r="26" customHeight="1" ht="11.25">
      <c r="B26" s="206" t="s">
        <v>4171</v>
      </c>
    </row>
    <row customHeight="1" ht="22.5">
      <c r="B27" s="273" t="s">
        <v>524</v>
      </c>
    </row>
    <row customHeight="1" ht="56.25">
      <c r="B28" s="273" t="s">
        <v>4172</v>
      </c>
    </row>
    <row customHeight="1" ht="11.25">
      <c r="B29" s="323" t="s">
        <v>4173</v>
      </c>
    </row>
    <row customHeight="1" ht="22.5">
      <c r="B30" s="273" t="s">
        <v>4174</v>
      </c>
    </row>
    <row r="32" customHeight="1" ht="11.25">
      <c r="A32" s="301"/>
      <c r="B32" s="302" t="s">
        <v>4175</v>
      </c>
    </row>
    <row customHeight="1" ht="14.25">
      <c r="A33" s="303">
        <v>1</v>
      </c>
      <c r="B33" s="304" t="s">
        <v>4176</v>
      </c>
    </row>
    <row customHeight="1" ht="14.25">
      <c r="A34" s="303">
        <v>2</v>
      </c>
      <c r="B34" s="304" t="s">
        <v>4177</v>
      </c>
    </row>
    <row customHeight="1" ht="11.25">
      <c r="B35" s="302" t="s">
        <v>4178</v>
      </c>
    </row>
    <row customHeight="1" ht="11.25">
      <c r="B36" s="304" t="s">
        <v>4179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